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9"/>
  </bookViews>
  <sheets>
    <sheet name="Cover" sheetId="1" state="visible" r:id="rId3"/>
    <sheet name="Property_Info" sheetId="2" state="visible" r:id="rId4"/>
    <sheet name="Assumptions" sheetId="3" state="visible" r:id="rId5"/>
    <sheet name="Rent_Roll" sheetId="4" state="visible" r:id="rId6"/>
    <sheet name="Operating_Statement" sheetId="5" state="visible" r:id="rId7"/>
    <sheet name="Cash_Flow" sheetId="6" state="visible" r:id="rId8"/>
    <sheet name="Returns_Analysis" sheetId="7" state="visible" r:id="rId9"/>
    <sheet name="Sensitivity_Analysis" sheetId="8" state="visible" r:id="rId10"/>
    <sheet name="Valuation" sheetId="9" state="visible" r:id="rId11"/>
    <sheet name="Key_Metrics" sheetId="10" state="visible" r:id="rId12"/>
  </sheets>
  <calcPr iterateCount="100" refMode="A1" iterate="false" iterateDelta="0.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<sst xmlns="http://schemas.openxmlformats.org/spreadsheetml/2006/main" count="468" uniqueCount="317">
  <si>
    <t xml:space="preserve">MULTIFAMILY INVESTMENT ANALYSIS</t>
  </si>
  <si>
    <t xml:space="preserve">Riverside Apartments - Class A Property</t>
  </si>
  <si>
    <t xml:space="preserve">Property Overview</t>
  </si>
  <si>
    <t xml:space="preserve">Property Name:</t>
  </si>
  <si>
    <t xml:space="preserve">Riverside Apartments</t>
  </si>
  <si>
    <t xml:space="preserve">Address:</t>
  </si>
  <si>
    <t xml:space="preserve">123 River Drive, Austin, TX 78701</t>
  </si>
  <si>
    <t xml:space="preserve">Property Type:</t>
  </si>
  <si>
    <t xml:space="preserve">Class A Multifamily</t>
  </si>
  <si>
    <t xml:space="preserve">Year Built / Renovated:</t>
  </si>
  <si>
    <t xml:space="preserve">2018 / 2023</t>
  </si>
  <si>
    <t xml:space="preserve">Total Units:</t>
  </si>
  <si>
    <t xml:space="preserve">Gross Building Area:</t>
  </si>
  <si>
    <t xml:space="preserve">SF</t>
  </si>
  <si>
    <t xml:space="preserve">Average Unit Size:</t>
  </si>
  <si>
    <t xml:space="preserve">SF/Unit</t>
  </si>
  <si>
    <t xml:space="preserve">Transaction Summary</t>
  </si>
  <si>
    <t xml:space="preserve">Purchase Price:</t>
  </si>
  <si>
    <t xml:space="preserve">Price per Unit:</t>
  </si>
  <si>
    <t xml:space="preserve">Price per SF:</t>
  </si>
  <si>
    <t xml:space="preserve">Acquisition Date:</t>
  </si>
  <si>
    <t xml:space="preserve">Q4 2024</t>
  </si>
  <si>
    <t xml:space="preserve">Hold Period:</t>
  </si>
  <si>
    <t xml:space="preserve">Years</t>
  </si>
  <si>
    <t xml:space="preserve">Key Investment Metrics</t>
  </si>
  <si>
    <t xml:space="preserve">Going-In Cap Rate:</t>
  </si>
  <si>
    <t xml:space="preserve">Stabilized Cap Rate:</t>
  </si>
  <si>
    <t xml:space="preserve">Levered IRR:</t>
  </si>
  <si>
    <t xml:space="preserve">Equity Multiple:</t>
  </si>
  <si>
    <t xml:space="preserve">x</t>
  </si>
  <si>
    <t xml:space="preserve">Average Cash Yield:</t>
  </si>
  <si>
    <t xml:space="preserve">PROPERTY INFORMATION</t>
  </si>
  <si>
    <t xml:space="preserve">PROPERTY DETAILS</t>
  </si>
  <si>
    <t xml:space="preserve">Property Name</t>
  </si>
  <si>
    <t xml:space="preserve">Address</t>
  </si>
  <si>
    <t xml:space="preserve">Submarket</t>
  </si>
  <si>
    <t xml:space="preserve">Downtown Austin</t>
  </si>
  <si>
    <t xml:space="preserve">Year Built</t>
  </si>
  <si>
    <t xml:space="preserve">Last Renovation</t>
  </si>
  <si>
    <t xml:space="preserve">Property Class</t>
  </si>
  <si>
    <t xml:space="preserve">Class A</t>
  </si>
  <si>
    <t xml:space="preserve">Stories</t>
  </si>
  <si>
    <t xml:space="preserve">Total Units</t>
  </si>
  <si>
    <t xml:space="preserve">Gross Building Area</t>
  </si>
  <si>
    <t xml:space="preserve">Average Unit Size</t>
  </si>
  <si>
    <t xml:space="preserve">Parking Spaces</t>
  </si>
  <si>
    <t xml:space="preserve">Parking Ratio</t>
  </si>
  <si>
    <t xml:space="preserve">Spaces/Unit</t>
  </si>
  <si>
    <t xml:space="preserve">UNIT MIX</t>
  </si>
  <si>
    <t xml:space="preserve">Unit Type</t>
  </si>
  <si>
    <t xml:space="preserve">Units</t>
  </si>
  <si>
    <t xml:space="preserve">% of Total</t>
  </si>
  <si>
    <t xml:space="preserve">Avg SF</t>
  </si>
  <si>
    <t xml:space="preserve">Total SF</t>
  </si>
  <si>
    <t xml:space="preserve">Market Rent</t>
  </si>
  <si>
    <t xml:space="preserve">$/SF/Month</t>
  </si>
  <si>
    <t xml:space="preserve">Studio</t>
  </si>
  <si>
    <t xml:space="preserve">1 Bed / 1 Bath</t>
  </si>
  <si>
    <t xml:space="preserve">2 Bed / 2 Bath</t>
  </si>
  <si>
    <t xml:space="preserve">3 Bed / 2 Bath</t>
  </si>
  <si>
    <t xml:space="preserve">Total / Weighted Avg</t>
  </si>
  <si>
    <t xml:space="preserve">AMENITIES</t>
  </si>
  <si>
    <t xml:space="preserve">• 24-hour fitness center with yoga studio</t>
  </si>
  <si>
    <t xml:space="preserve">• Resort-style pool and spa</t>
  </si>
  <si>
    <t xml:space="preserve">• Resident lounge with co-working space</t>
  </si>
  <si>
    <t xml:space="preserve">• Dog park and pet spa</t>
  </si>
  <si>
    <t xml:space="preserve">• Rooftop terrace with city views</t>
  </si>
  <si>
    <t xml:space="preserve">• Package concierge system</t>
  </si>
  <si>
    <t xml:space="preserve">• EV charging stations</t>
  </si>
  <si>
    <t xml:space="preserve">• Bike storage and repair station</t>
  </si>
  <si>
    <t xml:space="preserve">MARKET INFORMATION</t>
  </si>
  <si>
    <t xml:space="preserve">Submarket Vacancy</t>
  </si>
  <si>
    <t xml:space="preserve">Submarket Avg Rent PSF</t>
  </si>
  <si>
    <t xml:space="preserve">Population (3-mile radius)</t>
  </si>
  <si>
    <t xml:space="preserve">Median HH Income</t>
  </si>
  <si>
    <t xml:space="preserve">Employment Growth (3yr)</t>
  </si>
  <si>
    <t xml:space="preserve">Major Employers</t>
  </si>
  <si>
    <t xml:space="preserve">Tesla, Oracle, Dell, Apple, Amazon</t>
  </si>
  <si>
    <t xml:space="preserve">INVESTMENT ASSUMPTIONS</t>
  </si>
  <si>
    <t xml:space="preserve">ACQUISITION DETAILS</t>
  </si>
  <si>
    <t xml:space="preserve">Purchase Price</t>
  </si>
  <si>
    <t xml:space="preserve">Acquisition Costs (% of PP)</t>
  </si>
  <si>
    <t xml:space="preserve">Acquisition Costs ($)</t>
  </si>
  <si>
    <t xml:space="preserve">Total Acquisition Cost</t>
  </si>
  <si>
    <t xml:space="preserve">FINANCING</t>
  </si>
  <si>
    <t xml:space="preserve">Loan Amount</t>
  </si>
  <si>
    <t xml:space="preserve">LTV Ratio</t>
  </si>
  <si>
    <t xml:space="preserve">Interest Rate</t>
  </si>
  <si>
    <t xml:space="preserve">Amortization Period</t>
  </si>
  <si>
    <t xml:space="preserve">Loan Term</t>
  </si>
  <si>
    <t xml:space="preserve">IO Period</t>
  </si>
  <si>
    <t xml:space="preserve">Loan Fees</t>
  </si>
  <si>
    <t xml:space="preserve">Loan Fees ($)</t>
  </si>
  <si>
    <t xml:space="preserve">EQUITY</t>
  </si>
  <si>
    <t xml:space="preserve">Total Equity Required</t>
  </si>
  <si>
    <t xml:space="preserve">Equity as % of Total Cost</t>
  </si>
  <si>
    <t xml:space="preserve">REVENUE ASSUMPTIONS</t>
  </si>
  <si>
    <t xml:space="preserve">Year 1 Average Rent PSF</t>
  </si>
  <si>
    <t xml:space="preserve">Annual Rent Growth</t>
  </si>
  <si>
    <t xml:space="preserve">Physical Vacancy</t>
  </si>
  <si>
    <t xml:space="preserve">Bad Debt</t>
  </si>
  <si>
    <t xml:space="preserve">Other Income (% of EGI)</t>
  </si>
  <si>
    <t xml:space="preserve">OPERATING EXPENSES (Year 1)</t>
  </si>
  <si>
    <t xml:space="preserve">Property Taxes (% of Revenue)</t>
  </si>
  <si>
    <t xml:space="preserve">Insurance</t>
  </si>
  <si>
    <t xml:space="preserve">Utilities</t>
  </si>
  <si>
    <t xml:space="preserve">Repairs &amp; Maintenance</t>
  </si>
  <si>
    <t xml:space="preserve">Payroll &amp; Benefits</t>
  </si>
  <si>
    <t xml:space="preserve">Marketing &amp; Leasing</t>
  </si>
  <si>
    <t xml:space="preserve">Professional Fees</t>
  </si>
  <si>
    <t xml:space="preserve">Management Fee (% of EGI)</t>
  </si>
  <si>
    <t xml:space="preserve">General &amp; Administrative</t>
  </si>
  <si>
    <t xml:space="preserve">Expense Growth Rate</t>
  </si>
  <si>
    <t xml:space="preserve">CAPITAL EXPENDITURES</t>
  </si>
  <si>
    <t xml:space="preserve">CapEx (Per Unit)</t>
  </si>
  <si>
    <t xml:space="preserve">CapEx Growth Rate</t>
  </si>
  <si>
    <t xml:space="preserve">TI/LC (Per Unit Turnover)</t>
  </si>
  <si>
    <t xml:space="preserve">Annual Turnover Rate</t>
  </si>
  <si>
    <t xml:space="preserve">EXIT ASSUMPTIONS</t>
  </si>
  <si>
    <t xml:space="preserve">Exit Year</t>
  </si>
  <si>
    <t xml:space="preserve">Exit Cap Rate</t>
  </si>
  <si>
    <t xml:space="preserve">Disposition Costs</t>
  </si>
  <si>
    <t xml:space="preserve">RENT ROLL SUMMARY</t>
  </si>
  <si>
    <t xml:space="preserve">UNIT MIX &amp; CURRENT RENTS</t>
  </si>
  <si>
    <t xml:space="preserve">Occupied</t>
  </si>
  <si>
    <t xml:space="preserve">Vacant</t>
  </si>
  <si>
    <t xml:space="preserve">Occupancy %</t>
  </si>
  <si>
    <t xml:space="preserve">Avg In-Place</t>
  </si>
  <si>
    <t xml:space="preserve">Variance</t>
  </si>
  <si>
    <t xml:space="preserve">Annual Rent</t>
  </si>
  <si>
    <t xml:space="preserve">LEASE EXPIRATION SCHEDULE</t>
  </si>
  <si>
    <t xml:space="preserve">Month</t>
  </si>
  <si>
    <t xml:space="preserve">Expirations</t>
  </si>
  <si>
    <t xml:space="preserve">Cumulative %</t>
  </si>
  <si>
    <t xml:space="preserve">Jan 2025</t>
  </si>
  <si>
    <t xml:space="preserve">Feb 2025</t>
  </si>
  <si>
    <t xml:space="preserve">Mar 2025</t>
  </si>
  <si>
    <t xml:space="preserve">Apr 2025</t>
  </si>
  <si>
    <t xml:space="preserve">May 2025</t>
  </si>
  <si>
    <t xml:space="preserve">Jun 2025</t>
  </si>
  <si>
    <t xml:space="preserve">Jul 2025</t>
  </si>
  <si>
    <t xml:space="preserve">Aug 2025</t>
  </si>
  <si>
    <t xml:space="preserve">Sep 2025</t>
  </si>
  <si>
    <t xml:space="preserve">Oct 2025</t>
  </si>
  <si>
    <t xml:space="preserve">Nov 2025</t>
  </si>
  <si>
    <t xml:space="preserve">Dec 2025</t>
  </si>
  <si>
    <t xml:space="preserve">Total</t>
  </si>
  <si>
    <t xml:space="preserve">PROJECTED RENT GROWTH</t>
  </si>
  <si>
    <t xml:space="preserve">Year</t>
  </si>
  <si>
    <t xml:space="preserve">Rent Growth</t>
  </si>
  <si>
    <t xml:space="preserve">Market Rent PSF</t>
  </si>
  <si>
    <t xml:space="preserve">Year 1</t>
  </si>
  <si>
    <t xml:space="preserve">Year 2</t>
  </si>
  <si>
    <t xml:space="preserve">Year 3</t>
  </si>
  <si>
    <t xml:space="preserve">Year 4</t>
  </si>
  <si>
    <t xml:space="preserve">Year 5</t>
  </si>
  <si>
    <t xml:space="preserve">Year 6</t>
  </si>
  <si>
    <t xml:space="preserve">Year 7</t>
  </si>
  <si>
    <t xml:space="preserve">Year 8</t>
  </si>
  <si>
    <t xml:space="preserve">Year 9</t>
  </si>
  <si>
    <t xml:space="preserve">Year 10</t>
  </si>
  <si>
    <t xml:space="preserve">PRO FORMA OPERATING STATEMENT</t>
  </si>
  <si>
    <t xml:space="preserve">($ in thousands)</t>
  </si>
  <si>
    <t xml:space="preserve">Period</t>
  </si>
  <si>
    <t xml:space="preserve">REVENUE</t>
  </si>
  <si>
    <t xml:space="preserve">Gross Potential Rent</t>
  </si>
  <si>
    <t xml:space="preserve">(-) Vacancy Loss</t>
  </si>
  <si>
    <t xml:space="preserve">(-) Bad Debt</t>
  </si>
  <si>
    <t xml:space="preserve">Effective Gross Income</t>
  </si>
  <si>
    <t xml:space="preserve">(+) Other Income</t>
  </si>
  <si>
    <t xml:space="preserve">Total Revenue</t>
  </si>
  <si>
    <t xml:space="preserve">OPERATING EXPENSES</t>
  </si>
  <si>
    <t xml:space="preserve">Property Taxes</t>
  </si>
  <si>
    <t xml:space="preserve">Management Fee</t>
  </si>
  <si>
    <t xml:space="preserve">Total Operating Expenses</t>
  </si>
  <si>
    <t xml:space="preserve">NET OPERATING INCOME (NOI)</t>
  </si>
  <si>
    <t xml:space="preserve">MARGIN ANALYSIS</t>
  </si>
  <si>
    <t xml:space="preserve">NOI Margin</t>
  </si>
  <si>
    <t xml:space="preserve">OpEx Ratio</t>
  </si>
  <si>
    <t xml:space="preserve">GROWTH ANALYSIS</t>
  </si>
  <si>
    <t xml:space="preserve">Revenue Growth</t>
  </si>
  <si>
    <t xml:space="preserve">-</t>
  </si>
  <si>
    <t xml:space="preserve">NOI Growth</t>
  </si>
  <si>
    <t xml:space="preserve">PER UNIT METRICS (Annual)</t>
  </si>
  <si>
    <t xml:space="preserve">Revenue per Unit</t>
  </si>
  <si>
    <t xml:space="preserve">OpEx per Unit</t>
  </si>
  <si>
    <t xml:space="preserve">NOI per Unit</t>
  </si>
  <si>
    <t xml:space="preserve">CASH FLOW ANALYSIS</t>
  </si>
  <si>
    <t xml:space="preserve">SOURCES &amp; USES</t>
  </si>
  <si>
    <t xml:space="preserve">USES</t>
  </si>
  <si>
    <t xml:space="preserve">Acquisition Costs</t>
  </si>
  <si>
    <t xml:space="preserve">Total Uses</t>
  </si>
  <si>
    <t xml:space="preserve">SOURCES</t>
  </si>
  <si>
    <t xml:space="preserve">Loan Proceeds</t>
  </si>
  <si>
    <t xml:space="preserve">Equity Investment</t>
  </si>
  <si>
    <t xml:space="preserve">Total Sources</t>
  </si>
  <si>
    <t xml:space="preserve">ANNUAL CASH FLOW</t>
  </si>
  <si>
    <t xml:space="preserve">Year 0</t>
  </si>
  <si>
    <t xml:space="preserve">Net Operating Income</t>
  </si>
  <si>
    <t xml:space="preserve">DEBT SERVICE</t>
  </si>
  <si>
    <t xml:space="preserve">Annual Debt Service</t>
  </si>
  <si>
    <t xml:space="preserve">Recurring CapEx</t>
  </si>
  <si>
    <t xml:space="preserve">TI/LC</t>
  </si>
  <si>
    <t xml:space="preserve">Total CapEx</t>
  </si>
  <si>
    <t xml:space="preserve">CASH FLOW BEFORE TAX (CFBT)</t>
  </si>
  <si>
    <t xml:space="preserve">REVERSION</t>
  </si>
  <si>
    <t xml:space="preserve">NOI (Exit Year)</t>
  </si>
  <si>
    <t xml:space="preserve">Gross Sale Price</t>
  </si>
  <si>
    <t xml:space="preserve">Loan Payoff</t>
  </si>
  <si>
    <t xml:space="preserve">Net Sale Proceeds</t>
  </si>
  <si>
    <t xml:space="preserve">TOTAL CASH FLOW</t>
  </si>
  <si>
    <t xml:space="preserve">Cumulative Cash Flow</t>
  </si>
  <si>
    <t xml:space="preserve">RETURNS ANALYSIS</t>
  </si>
  <si>
    <t xml:space="preserve">KEY INVESTMENT METRICS</t>
  </si>
  <si>
    <t xml:space="preserve">Total Equity Investment</t>
  </si>
  <si>
    <t xml:space="preserve">Total Operating CF</t>
  </si>
  <si>
    <t xml:space="preserve">Net Reversion Proceeds</t>
  </si>
  <si>
    <t xml:space="preserve">Total Return</t>
  </si>
  <si>
    <t xml:space="preserve">Total Profit</t>
  </si>
  <si>
    <t xml:space="preserve">RETURN METRICS</t>
  </si>
  <si>
    <t xml:space="preserve">Levered IRR</t>
  </si>
  <si>
    <t xml:space="preserve">Unlevered IRR</t>
  </si>
  <si>
    <t xml:space="preserve">N/A</t>
  </si>
  <si>
    <t xml:space="preserve">Levered IRR (for Cover)</t>
  </si>
  <si>
    <t xml:space="preserve">Equity Multiple (for Cover)</t>
  </si>
  <si>
    <t xml:space="preserve">Avg Cash Yield (for Cover)</t>
  </si>
  <si>
    <t xml:space="preserve">YEAR-BY-YEAR METRICS</t>
  </si>
  <si>
    <t xml:space="preserve">Cash-on-Cash</t>
  </si>
  <si>
    <t xml:space="preserve">DSCR</t>
  </si>
  <si>
    <t xml:space="preserve">Debt Yield</t>
  </si>
  <si>
    <t xml:space="preserve">Annual Cash Flow</t>
  </si>
  <si>
    <t xml:space="preserve">Cumulative CF</t>
  </si>
  <si>
    <t xml:space="preserve">SENSITIVITY ANALYSIS</t>
  </si>
  <si>
    <t xml:space="preserve">LEVERED IRR SENSITIVITY</t>
  </si>
  <si>
    <t xml:space="preserve">Exit Cap Rate →</t>
  </si>
  <si>
    <t xml:space="preserve">NOI Growth ↓</t>
  </si>
  <si>
    <t xml:space="preserve">EQUITY MULTIPLE SENSITIVITY</t>
  </si>
  <si>
    <t xml:space="preserve">PROPERTY VALUATION</t>
  </si>
  <si>
    <t xml:space="preserve">DIRECT CAPITALIZATION METHOD</t>
  </si>
  <si>
    <t xml:space="preserve">Year 1 NOI</t>
  </si>
  <si>
    <t xml:space="preserve">Going-In Cap Rate</t>
  </si>
  <si>
    <t xml:space="preserve">Indicated Value (Direct Cap)</t>
  </si>
  <si>
    <t xml:space="preserve">Stabilized Year NOI</t>
  </si>
  <si>
    <t xml:space="preserve">Stabilized Cap Rate</t>
  </si>
  <si>
    <t xml:space="preserve">Indicated Value (Stabilized)</t>
  </si>
  <si>
    <t xml:space="preserve">EXIT VALUATION (Year 5)</t>
  </si>
  <si>
    <t xml:space="preserve">Exit Year NOI</t>
  </si>
  <si>
    <t xml:space="preserve">Disposition Costs (2%)</t>
  </si>
  <si>
    <t xml:space="preserve">COMPARABLE SALES ANALYSIS</t>
  </si>
  <si>
    <t xml:space="preserve">Property</t>
  </si>
  <si>
    <t xml:space="preserve">Price</t>
  </si>
  <si>
    <t xml:space="preserve">Price/Unit</t>
  </si>
  <si>
    <t xml:space="preserve">Price/SF</t>
  </si>
  <si>
    <t xml:space="preserve">Cap Rate</t>
  </si>
  <si>
    <t xml:space="preserve">Riverside Terrace</t>
  </si>
  <si>
    <t xml:space="preserve">Lakeside Commons</t>
  </si>
  <si>
    <t xml:space="preserve">Park Plaza Apartments</t>
  </si>
  <si>
    <t xml:space="preserve">Average</t>
  </si>
  <si>
    <t xml:space="preserve">SUBJECT PROPERTY VALUATION</t>
  </si>
  <si>
    <t xml:space="preserve">Avg Price per Unit</t>
  </si>
  <si>
    <t xml:space="preserve">Avg Price per SF</t>
  </si>
  <si>
    <t xml:space="preserve">Indicated Value (per Unit)</t>
  </si>
  <si>
    <t xml:space="preserve">Indicated Value (per SF)</t>
  </si>
  <si>
    <t xml:space="preserve">VALUATION SUMMARY</t>
  </si>
  <si>
    <t xml:space="preserve">Direct Cap Value</t>
  </si>
  <si>
    <t xml:space="preserve">Comparable Sales Value</t>
  </si>
  <si>
    <t xml:space="preserve">Exit Sale Price (Yr 5)</t>
  </si>
  <si>
    <t xml:space="preserve">KEY REAL ESTATE METRICS</t>
  </si>
  <si>
    <t xml:space="preserve">Calculated metrics with formulas for sensitivity analysis</t>
  </si>
  <si>
    <t xml:space="preserve">LEVERAGE METRICS</t>
  </si>
  <si>
    <t xml:space="preserve">Loan-to-Value Ratio (LTV)</t>
  </si>
  <si>
    <t xml:space="preserve">Loan / Purchase Price</t>
  </si>
  <si>
    <t xml:space="preserve">Loan-to-Cost Ratio (LTC)</t>
  </si>
  <si>
    <t xml:space="preserve">Loan / Total Cost</t>
  </si>
  <si>
    <t xml:space="preserve">Debt Yield (Year 1)</t>
  </si>
  <si>
    <t xml:space="preserve">NOI / Loan Amount</t>
  </si>
  <si>
    <t xml:space="preserve">Debt Service Coverage Ratio (Year 1)</t>
  </si>
  <si>
    <t xml:space="preserve">NOI / Debt Service</t>
  </si>
  <si>
    <t xml:space="preserve">From Returns Analysis</t>
  </si>
  <si>
    <t xml:space="preserve">Cash-on-Cash Return (Year 1)</t>
  </si>
  <si>
    <t xml:space="preserve">Year 1 CF / Equity</t>
  </si>
  <si>
    <t xml:space="preserve">Equity Multiple</t>
  </si>
  <si>
    <t xml:space="preserve">Total Return / Equity</t>
  </si>
  <si>
    <t xml:space="preserve">Yield on Cost (Stabilized)</t>
  </si>
  <si>
    <t xml:space="preserve">Stabilized NOI / Total Cost</t>
  </si>
  <si>
    <t xml:space="preserve">OPERATIONAL METRICS</t>
  </si>
  <si>
    <t xml:space="preserve">Net Operating Income - Year 1</t>
  </si>
  <si>
    <t xml:space="preserve">From Operating Statement</t>
  </si>
  <si>
    <t xml:space="preserve">Operating Expense Ratio (Year 1)</t>
  </si>
  <si>
    <t xml:space="preserve">OpEx / EGI</t>
  </si>
  <si>
    <t xml:space="preserve">NOI Margin (Year 1)</t>
  </si>
  <si>
    <t xml:space="preserve">NOI / EGI</t>
  </si>
  <si>
    <t xml:space="preserve">Break-even Occupancy</t>
  </si>
  <si>
    <t xml:space="preserve">(OpEx + Debt Service) / PGI</t>
  </si>
  <si>
    <t xml:space="preserve">VALUATION METRICS</t>
  </si>
  <si>
    <t xml:space="preserve">Gross Rent Multiplier (GRM)</t>
  </si>
  <si>
    <t xml:space="preserve">Purchase Price / Gross Income</t>
  </si>
  <si>
    <t xml:space="preserve">Going-in Cap Rate (Year 1)</t>
  </si>
  <si>
    <t xml:space="preserve">Year 1 NOI / Purchase Price</t>
  </si>
  <si>
    <t xml:space="preserve">From Assumptions</t>
  </si>
  <si>
    <t xml:space="preserve">Implied Exit Value (Year 5)</t>
  </si>
  <si>
    <t xml:space="preserve">Exit NOI / Exit Cap Rate</t>
  </si>
  <si>
    <t xml:space="preserve">Created Value</t>
  </si>
  <si>
    <t xml:space="preserve">Exit Value - Purchase Price</t>
  </si>
  <si>
    <t xml:space="preserve">CASH FLOW &amp; DISTRIBUTION METRICS</t>
  </si>
  <si>
    <t xml:space="preserve">Net Present Value (NPV @ 12%)</t>
  </si>
  <si>
    <t xml:space="preserve">PV of all cash flows</t>
  </si>
  <si>
    <t xml:space="preserve">Cumulative Distributions (Year 5)</t>
  </si>
  <si>
    <t xml:space="preserve">Total cash received</t>
  </si>
  <si>
    <t xml:space="preserve">Average Annual Cash Flow (Years 1-5)</t>
  </si>
  <si>
    <t xml:space="preserve">Avg CFBT</t>
  </si>
  <si>
    <t xml:space="preserve">Avg Cash Yield on Equity (Years 1-5)</t>
  </si>
  <si>
    <t xml:space="preserve">Avg Cash-on-Cash</t>
  </si>
  <si>
    <t xml:space="preserve">INPUTS FOR SENSITIVITY</t>
  </si>
  <si>
    <t xml:space="preserve">Discount Rate for NPV</t>
  </si>
  <si>
    <t xml:space="preserve">User input</t>
  </si>
  <si>
    <t xml:space="preserve">YEAR-BY-YEAR METRICS (for detailed analysis)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</si>
</sst>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_([$$-409]* #,##0.00_);_([$$-409]* \(#,##0.00\);_([$$-409]* \-??_);_(@_)"/>
    <numFmt numFmtId="166" formatCode="0.00%"/>
    <numFmt numFmtId="167" formatCode="#,##0.00"/>
    <numFmt numFmtId="168" formatCode="@"/>
  </numFmts>
  <fonts count="17">
    <font>
      <sz val="12"/>
      <color theme="1"/>
      <name val="Calibri"/>
      <family val="0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2"/>
      <color theme="1"/>
      <name val="Aptos Narrow"/>
      <family val="0"/>
      <charset val="1"/>
    </font>
    <font>
      <b val="true"/>
      <sz val="18"/>
      <color rgb="FF1F4E78"/>
      <name val="Aptos Narrow"/>
      <family val="0"/>
      <charset val="1"/>
    </font>
    <font>
      <b val="true"/>
      <sz val="14"/>
      <color rgb="FF2E5C8A"/>
      <name val="Aptos Narrow"/>
      <family val="0"/>
      <charset val="1"/>
    </font>
    <font>
      <b val="true"/>
      <sz val="11"/>
      <color rgb="FF1F4E78"/>
      <name val="Aptos Narrow"/>
      <family val="0"/>
      <charset val="1"/>
    </font>
    <font>
      <b val="true"/>
      <sz val="11"/>
      <name val="Aptos Narrow"/>
      <family val="0"/>
      <charset val="1"/>
    </font>
    <font>
      <sz val="12"/>
      <name val="Calibri"/>
      <family val="0"/>
      <charset val="1"/>
    </font>
    <font>
      <b val="true"/>
      <sz val="16"/>
      <color rgb="FF1F4E78"/>
      <name val="Aptos Narrow"/>
      <family val="0"/>
      <charset val="1"/>
    </font>
    <font>
      <b val="true"/>
      <sz val="11"/>
      <color rgb="FFFFFFFF"/>
      <name val="Aptos Narrow"/>
      <family val="0"/>
      <charset val="1"/>
    </font>
    <font>
      <b val="true"/>
      <sz val="14"/>
      <color rgb="FF1F4E78"/>
      <name val="Aptos Narrow"/>
      <family val="0"/>
      <charset val="1"/>
    </font>
    <font>
      <sz val="11"/>
      <name val="Aptos Narrow"/>
      <family val="0"/>
      <charset val="1"/>
    </font>
    <font>
      <sz val="12"/>
      <color rgb="FF008000"/>
      <name val="Calibri"/>
      <family val="0"/>
      <charset val="1"/>
    </font>
    <font>
      <i val="true"/>
      <sz val="10"/>
      <color rgb="FF666666"/>
      <name val="Aptos Narrow"/>
      <family val="0"/>
      <charset val="1"/>
    </font>
    <font>
      <sz val="12"/>
      <color rgb="FF0000FF"/>
      <name val="Calibri"/>
      <family val="0"/>
      <charset val="1"/>
    </font>
  </fonts>
  <fills count="8">
    <fill>
      <patternFill patternType="none"/>
    </fill>
    <fill>
      <patternFill patternType="gray125"/>
    </fill>
    <fill>
      <patternFill patternType="solid">
        <fgColor rgb="FF1F4E78"/>
        <bgColor rgb="FF2E5C8A"/>
      </patternFill>
    </fill>
    <fill>
      <patternFill patternType="solid">
        <fgColor rgb="FFD9E1F2"/>
        <bgColor rgb="FFD0D0D0"/>
      </patternFill>
    </fill>
    <fill>
      <patternFill patternType="solid">
        <fgColor rgb="FFFFF2CC"/>
        <bgColor rgb="FFFFEB9C"/>
      </patternFill>
    </fill>
    <fill>
      <patternFill patternType="solid">
        <fgColor rgb="FFC6EFCE"/>
        <bgColor rgb="FFD9E1F2"/>
      </patternFill>
    </fill>
    <fill>
      <patternFill patternType="solid">
        <fgColor rgb="FFFFEB9C"/>
        <bgColor rgb="FFFFF2CC"/>
      </patternFill>
    </fill>
    <fill>
      <patternFill patternType="solid">
        <fgColor rgb="FFFFC7CE"/>
        <bgColor rgb="FFD0D0D0"/>
      </patternFill>
    </fill>
  </fills>
  <borders count="6">
    <border diagonalUp="false" diagonalDown="false">
      <left/>
      <right/>
      <top/>
      <bottom/>
      <diagonal/>
    </border>
    <border diagonalUp="false" diagonalDown="false">
      <left/>
      <right/>
      <top/>
      <bottom style="medium">
        <color rgb="FF1F4E78"/>
      </bottom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/>
      <top/>
      <bottom style="thin">
        <color rgb="FFD0D0D0"/>
      </bottom>
      <diagonal/>
    </border>
    <border diagonalUp="false" diagonalDown="false">
      <left/>
      <right/>
      <top style="thin"/>
      <bottom style="thin">
        <color rgb="FFD0D0D0"/>
      </bottom>
      <diagonal/>
    </border>
    <border diagonalUp="false" diagonalDown="false">
      <left/>
      <right/>
      <top style="thin"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7" fillId="0" borderId="1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5" fontId="9" fillId="0" borderId="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6" fontId="9" fillId="0" borderId="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11" fillId="2" borderId="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8" fillId="3" borderId="1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8" fillId="0" borderId="2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6" fontId="8" fillId="0" borderId="2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5" fontId="8" fillId="0" borderId="2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11" fillId="2" borderId="1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5" fontId="9" fillId="0" borderId="3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6" fontId="9" fillId="0" borderId="3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8" fillId="0" borderId="4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5" fontId="8" fillId="0" borderId="4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11" fillId="2" borderId="3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8" fillId="0" borderId="5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5" fontId="8" fillId="0" borderId="5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8" fillId="3" borderId="1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5" fontId="9" fillId="0" borderId="0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5" fontId="8" fillId="0" borderId="2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6" fontId="9" fillId="0" borderId="0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4" fontId="8" fillId="4" borderId="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6" fontId="8" fillId="4" borderId="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7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3" borderId="0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6" fontId="8" fillId="3" borderId="0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6" fontId="9" fillId="5" borderId="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6" fontId="9" fillId="6" borderId="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6" fontId="9" fillId="7" borderId="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9" fillId="5" borderId="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7" fontId="9" fillId="6" borderId="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9" fillId="6" borderId="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7" fontId="9" fillId="0" borderId="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7" fontId="9" fillId="5" borderId="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7" fontId="9" fillId="7" borderId="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9" fillId="7" borderId="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6" fontId="8" fillId="0" borderId="5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5" fontId="8" fillId="4" borderId="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8" fontId="12" fillId="0" borderId="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13" fillId="0" borderId="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6" fontId="14" fillId="0" borderId="0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15" fillId="0" borderId="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7" fontId="14" fillId="0" borderId="0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5" fontId="14" fillId="0" borderId="0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6" fontId="16" fillId="0" borderId="0" xfId="0" applyFont="true" applyBorder="true" applyAlignment="true" applyProtection="false">
      <alignment horizontal="center" vertical="top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D9E1F2"/>
      <rgbColor rgb="FF660066"/>
      <rgbColor rgb="FFFF8080"/>
      <rgbColor rgb="FF2E5C8A"/>
      <rgbColor rgb="FFD0D0D0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6EFCE"/>
      <rgbColor rgb="FFFFEB9C"/>
      <rgbColor rgb="FF99CCFF"/>
      <rgbColor rgb="FFFF99CC"/>
      <rgbColor rgb="FFCC99FF"/>
      <rgbColor rgb="FFFFC7CE"/>
      <rgbColor rgb="FF3366FF"/>
      <rgbColor rgb="FF33CCCC"/>
      <rgbColor rgb="FF99CC00"/>
      <rgbColor rgb="FFFFCC00"/>
      <rgbColor rgb="FFFF9900"/>
      <rgbColor rgb="FFFF6600"/>
      <rgbColor rgb="FF666666"/>
      <rgbColor rgb="FF969696"/>
      <rgbColor rgb="FF003366"/>
      <rgbColor rgb="FF339966"/>
      <rgbColor rgb="FF003300"/>
      <rgbColor rgb="FF333300"/>
      <rgbColor rgb="FF993300"/>
      <rgbColor rgb="FF993366"/>
      <rgbColor rgb="FF1F4E78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itchFamily="0" charset="1"/>
        <a:ea typeface=""/>
        <a:cs typeface=""/>
      </a:majorFont>
      <a:minorFont>
        <a:latin typeface="Calibri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 l="0" t="0" r="0" b="0"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 l="0" t="0" r="0" b="0"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 l="0" t="0" r="0" b="0"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 l="0" t="0" r="0" b="0"/>
        </a:gra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2:D29"/>
  <sheetViews>
    <sheetView showFormulas="false" showGridLines="false" showRowColHeaders="true" showZeros="true" rightToLeft="false" tabSelected="false" showOutlineSymbols="true" defaultGridColor="true" view="normal" topLeftCell="A9" colorId="64" zoomScale="100" zoomScaleNormal="100" zoomScalePageLayoutView="100" workbookViewId="0">
      <selection pane="topLeft" activeCell="C27" activeCellId="0" sqref="C27"/>
    </sheetView>
  </sheetViews>
  <sheetFormatPr defaultColWidth="7.75390625" defaultRowHeight="15" zeroHeight="false" outlineLevelRow="0" outlineLevelCol="0"/>
  <cols>
    <col collapsed="false" customWidth="true" hidden="false" outlineLevel="0" max="2" min="2" style="1" width="25.01"/>
    <col collapsed="false" customWidth="true" hidden="false" outlineLevel="0" max="3" min="3" style="1" width="18.75"/>
    <col collapsed="false" customWidth="true" hidden="false" outlineLevel="0" max="4" min="4" style="1" width="10.01"/>
  </cols>
  <sheetData>
    <row r="2" s="1" customFormat="true" ht="27.75" hidden="false" customHeight="true" outlineLevel="0" collapsed="false">
      <c r="B2" s="2" t="s">
        <v>0</v>
      </c>
    </row>
    <row r="3" s="1" customFormat="true" ht="21.75" hidden="false" customHeight="true" outlineLevel="0" collapsed="false">
      <c r="B3" s="3" t="s">
        <v>1</v>
      </c>
    </row>
    <row r="5" s="1" customFormat="true" ht="18" hidden="false" customHeight="true" outlineLevel="0" collapsed="false">
      <c r="B5" s="4" t="s">
        <v>2</v>
      </c>
    </row>
    <row r="7" s="1" customFormat="true" ht="19.5" hidden="false" customHeight="true" outlineLevel="0" collapsed="false">
      <c r="B7" s="5" t="s">
        <v>3</v>
      </c>
      <c r="C7" s="1" t="s">
        <v>4</v>
      </c>
    </row>
    <row r="8" s="1" customFormat="true" ht="19.5" hidden="false" customHeight="true" outlineLevel="0" collapsed="false">
      <c r="B8" s="5" t="s">
        <v>5</v>
      </c>
      <c r="C8" s="1" t="s">
        <v>6</v>
      </c>
    </row>
    <row r="9" s="1" customFormat="true" ht="19.5" hidden="false" customHeight="true" outlineLevel="0" collapsed="false">
      <c r="B9" s="5" t="s">
        <v>7</v>
      </c>
      <c r="C9" s="1" t="s">
        <v>8</v>
      </c>
    </row>
    <row r="10" s="1" customFormat="true" ht="19.5" hidden="false" customHeight="true" outlineLevel="0" collapsed="false">
      <c r="B10" s="5" t="s">
        <v>9</v>
      </c>
      <c r="C10" s="1" t="s">
        <v>10</v>
      </c>
    </row>
    <row r="11" s="1" customFormat="true" ht="19.5" hidden="false" customHeight="true" outlineLevel="0" collapsed="false">
      <c r="B11" s="5" t="s">
        <v>11</v>
      </c>
      <c r="C11" s="1" t="n">
        <v>250</v>
      </c>
    </row>
    <row r="12" s="1" customFormat="true" ht="19.5" hidden="false" customHeight="true" outlineLevel="0" collapsed="false">
      <c r="B12" s="5" t="s">
        <v>12</v>
      </c>
      <c r="C12" s="1" t="n">
        <v>225000</v>
      </c>
      <c r="D12" s="1" t="s">
        <v>13</v>
      </c>
    </row>
    <row r="13" s="1" customFormat="true" ht="19.5" hidden="false" customHeight="true" outlineLevel="0" collapsed="false">
      <c r="B13" s="5" t="s">
        <v>14</v>
      </c>
      <c r="C13" s="1" t="n">
        <f aca="false">C12/C11</f>
        <v>900</v>
      </c>
      <c r="D13" s="1" t="s">
        <v>15</v>
      </c>
    </row>
    <row r="15" s="1" customFormat="true" ht="18" hidden="false" customHeight="true" outlineLevel="0" collapsed="false">
      <c r="B15" s="4" t="s">
        <v>16</v>
      </c>
    </row>
    <row r="17" s="1" customFormat="true" ht="19.5" hidden="false" customHeight="true" outlineLevel="0" collapsed="false">
      <c r="B17" s="5" t="s">
        <v>17</v>
      </c>
      <c r="C17" s="6" t="n">
        <v>56250000</v>
      </c>
    </row>
    <row r="18" s="1" customFormat="true" ht="19.5" hidden="false" customHeight="true" outlineLevel="0" collapsed="false">
      <c r="B18" s="5" t="s">
        <v>18</v>
      </c>
      <c r="C18" s="6" t="n">
        <f aca="false">C17/C11</f>
        <v>225000</v>
      </c>
    </row>
    <row r="19" s="1" customFormat="true" ht="19.5" hidden="false" customHeight="true" outlineLevel="0" collapsed="false">
      <c r="B19" s="5" t="s">
        <v>19</v>
      </c>
      <c r="C19" s="6" t="n">
        <f aca="false">C17/C12</f>
        <v>250</v>
      </c>
    </row>
    <row r="20" s="1" customFormat="true" ht="19.5" hidden="false" customHeight="true" outlineLevel="0" collapsed="false">
      <c r="B20" s="5" t="s">
        <v>20</v>
      </c>
      <c r="C20" s="1" t="s">
        <v>21</v>
      </c>
    </row>
    <row r="21" s="1" customFormat="true" ht="19.5" hidden="false" customHeight="true" outlineLevel="0" collapsed="false">
      <c r="B21" s="5" t="s">
        <v>22</v>
      </c>
      <c r="C21" s="1" t="n">
        <v>5</v>
      </c>
      <c r="D21" s="1" t="s">
        <v>23</v>
      </c>
    </row>
    <row r="23" s="1" customFormat="true" ht="18" hidden="false" customHeight="true" outlineLevel="0" collapsed="false">
      <c r="B23" s="4" t="s">
        <v>24</v>
      </c>
    </row>
    <row r="25" s="1" customFormat="true" ht="19.5" hidden="false" customHeight="true" outlineLevel="0" collapsed="false">
      <c r="B25" s="5" t="s">
        <v>25</v>
      </c>
      <c r="C25" s="7" t="n">
        <v>0.052</v>
      </c>
    </row>
    <row r="26" s="1" customFormat="true" ht="19.5" hidden="false" customHeight="true" outlineLevel="0" collapsed="false">
      <c r="B26" s="5" t="s">
        <v>26</v>
      </c>
      <c r="C26" s="7" t="n">
        <v>0.055</v>
      </c>
    </row>
    <row r="27" s="1" customFormat="true" ht="19.5" hidden="false" customHeight="true" outlineLevel="0" collapsed="false">
      <c r="B27" s="5" t="s">
        <v>27</v>
      </c>
      <c r="C27" s="7" t="n">
        <f aca="false" t="array" ref="C27:C27">Returns_Analysis!C15</f>
        <v>0.184671429713301</v>
      </c>
    </row>
    <row r="28" s="1" customFormat="true" ht="19.5" hidden="false" customHeight="true" outlineLevel="0" collapsed="false">
      <c r="B28" s="5" t="s">
        <v>28</v>
      </c>
      <c r="C28" s="1" t="n">
        <f aca="false" t="array" ref="C28:C28">Returns_Analysis!C16</f>
        <v>2.89186303796578</v>
      </c>
      <c r="D28" s="1" t="s">
        <v>29</v>
      </c>
    </row>
    <row r="29" s="1" customFormat="true" ht="19.5" hidden="false" customHeight="true" outlineLevel="0" collapsed="false">
      <c r="B29" s="5" t="s">
        <v>30</v>
      </c>
      <c r="C29" s="7" t="n">
        <f aca="false" t="array" ref="C29:C29">Returns_Analysis!C17</f>
        <v>0.134728554467203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2:D78"/>
  <sheetViews>
    <sheetView showFormulas="false" showGridLines="fals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D24" activeCellId="0" sqref="D24"/>
    </sheetView>
  </sheetViews>
  <sheetFormatPr defaultColWidth="7.75390625" defaultRowHeight="15" zeroHeight="false" outlineLevelRow="0" outlineLevelCol="0"/>
  <cols>
    <col collapsed="false" customWidth="true" hidden="false" outlineLevel="0" max="2" min="2" style="0" width="43.75"/>
    <col collapsed="false" customWidth="true" hidden="false" outlineLevel="0" max="3" min="3" style="0" width="23.5"/>
    <col collapsed="false" customWidth="true" hidden="false" outlineLevel="0" max="4" min="4" style="0" width="25.01"/>
  </cols>
  <sheetData>
    <row r="2" customFormat="false" ht="21.75" hidden="false" customHeight="true" outlineLevel="0" collapsed="false">
      <c r="B2" s="45" t="s">
        <v>267</v>
      </c>
    </row>
    <row r="3" customFormat="false" ht="19.5" hidden="false" customHeight="true" outlineLevel="0" collapsed="false">
      <c r="B3" s="0" t="s">
        <v>268</v>
      </c>
    </row>
    <row r="5" customFormat="false" ht="18" hidden="false" customHeight="true" outlineLevel="0" collapsed="false">
      <c r="B5" s="9" t="s">
        <v>269</v>
      </c>
      <c r="C5" s="9"/>
      <c r="D5" s="9"/>
    </row>
    <row r="7" customFormat="false" ht="19.5" hidden="false" customHeight="true" outlineLevel="0" collapsed="false">
      <c r="B7" s="46" t="s">
        <v>270</v>
      </c>
      <c r="C7" s="47" t="n">
        <f aca="false">Assumptions!C11/Assumptions!C5</f>
        <v>0.65</v>
      </c>
      <c r="D7" s="48" t="s">
        <v>271</v>
      </c>
    </row>
    <row r="8" customFormat="false" ht="19.5" hidden="false" customHeight="true" outlineLevel="0" collapsed="false">
      <c r="B8" s="46" t="s">
        <v>272</v>
      </c>
      <c r="C8" s="47" t="n">
        <f aca="false">Assumptions!C11/Assumptions!C8</f>
        <v>0.634146341463415</v>
      </c>
      <c r="D8" s="48" t="s">
        <v>273</v>
      </c>
    </row>
    <row r="9" customFormat="false" ht="19.5" hidden="false" customHeight="true" outlineLevel="0" collapsed="false">
      <c r="B9" s="46" t="s">
        <v>274</v>
      </c>
      <c r="C9" s="47" t="n">
        <f aca="false">Operating_Statement!C27/Assumptions!C11</f>
        <v>0.153456505982906</v>
      </c>
      <c r="D9" s="48" t="s">
        <v>275</v>
      </c>
    </row>
    <row r="10" customFormat="false" ht="19.5" hidden="false" customHeight="true" outlineLevel="0" collapsed="false">
      <c r="B10" s="46" t="s">
        <v>276</v>
      </c>
      <c r="C10" s="49" t="n">
        <f aca="false">Cash_Flow!D20/Cash_Flow!D23</f>
        <v>2.02320663123761</v>
      </c>
      <c r="D10" s="48" t="s">
        <v>277</v>
      </c>
    </row>
    <row r="12" customFormat="false" ht="18" hidden="false" customHeight="true" outlineLevel="0" collapsed="false">
      <c r="B12" s="9" t="s">
        <v>219</v>
      </c>
      <c r="C12" s="9"/>
      <c r="D12" s="9"/>
    </row>
    <row r="14" customFormat="false" ht="19.5" hidden="false" customHeight="true" outlineLevel="0" collapsed="false">
      <c r="B14" s="46" t="s">
        <v>220</v>
      </c>
      <c r="C14" s="47" t="n">
        <f aca="false">Returns_Analysis!C13</f>
        <v>0.184671429713301</v>
      </c>
      <c r="D14" s="48" t="s">
        <v>278</v>
      </c>
    </row>
    <row r="15" customFormat="false" ht="19.5" hidden="false" customHeight="true" outlineLevel="0" collapsed="false">
      <c r="B15" s="46" t="s">
        <v>221</v>
      </c>
      <c r="C15" s="47" t="str">
        <f aca="false">Returns_Analysis!C14</f>
        <v>N/A</v>
      </c>
      <c r="D15" s="48" t="s">
        <v>278</v>
      </c>
    </row>
    <row r="16" customFormat="false" ht="19.5" hidden="false" customHeight="true" outlineLevel="0" collapsed="false">
      <c r="B16" s="46" t="s">
        <v>279</v>
      </c>
      <c r="C16" s="47" t="n">
        <f aca="false">Returns_Analysis!C21</f>
        <v>0.102521860348897</v>
      </c>
      <c r="D16" s="48" t="s">
        <v>280</v>
      </c>
    </row>
    <row r="17" customFormat="false" ht="19.5" hidden="false" customHeight="true" outlineLevel="0" collapsed="false">
      <c r="B17" s="46" t="s">
        <v>281</v>
      </c>
      <c r="C17" s="49" t="n">
        <f aca="false">Returns_Analysis!C16</f>
        <v>2.89186303796578</v>
      </c>
      <c r="D17" s="48" t="s">
        <v>282</v>
      </c>
    </row>
    <row r="18" customFormat="false" ht="19.5" hidden="false" customHeight="true" outlineLevel="0" collapsed="false">
      <c r="B18" s="46" t="s">
        <v>283</v>
      </c>
      <c r="C18" s="47" t="n">
        <f aca="false">Operating_Statement!L27/Assumptions!C8</f>
        <v>0.12697132362287</v>
      </c>
      <c r="D18" s="48" t="s">
        <v>284</v>
      </c>
    </row>
    <row r="20" customFormat="false" ht="18" hidden="false" customHeight="true" outlineLevel="0" collapsed="false">
      <c r="B20" s="9" t="s">
        <v>285</v>
      </c>
      <c r="C20" s="9"/>
      <c r="D20" s="9"/>
    </row>
    <row r="22" customFormat="false" ht="19.5" hidden="false" customHeight="true" outlineLevel="0" collapsed="false">
      <c r="B22" s="46" t="s">
        <v>286</v>
      </c>
      <c r="C22" s="50" t="n">
        <f aca="false">Operating_Statement!C27</f>
        <v>5610753.5</v>
      </c>
      <c r="D22" s="48" t="s">
        <v>287</v>
      </c>
    </row>
    <row r="23" customFormat="false" ht="19.5" hidden="false" customHeight="true" outlineLevel="0" collapsed="false">
      <c r="B23" s="46" t="s">
        <v>288</v>
      </c>
      <c r="C23" s="47" t="n">
        <f aca="false">Operating_Statement!C31</f>
        <v>0.158276761863507</v>
      </c>
      <c r="D23" s="48" t="s">
        <v>289</v>
      </c>
    </row>
    <row r="24" customFormat="false" ht="19.5" hidden="false" customHeight="true" outlineLevel="0" collapsed="false">
      <c r="B24" s="46" t="s">
        <v>290</v>
      </c>
      <c r="C24" s="47" t="n">
        <f aca="false">Operating_Statement!C30</f>
        <v>0.841723238136494</v>
      </c>
      <c r="D24" s="48" t="s">
        <v>291</v>
      </c>
    </row>
    <row r="25" customFormat="false" ht="19.5" hidden="false" customHeight="true" outlineLevel="0" collapsed="false">
      <c r="B25" s="46" t="s">
        <v>292</v>
      </c>
      <c r="C25" s="47" t="n">
        <f aca="false">((Operating_Statement!C25)+Cash_Flow!D23)/(Operating_Statement!C8)</f>
        <v>0.567146474529687</v>
      </c>
      <c r="D25" s="48" t="s">
        <v>293</v>
      </c>
    </row>
    <row r="27" customFormat="false" ht="18" hidden="false" customHeight="true" outlineLevel="0" collapsed="false">
      <c r="B27" s="9" t="s">
        <v>294</v>
      </c>
      <c r="C27" s="9"/>
      <c r="D27" s="9"/>
    </row>
    <row r="29" customFormat="false" ht="19.5" hidden="false" customHeight="true" outlineLevel="0" collapsed="false">
      <c r="B29" s="46" t="s">
        <v>295</v>
      </c>
      <c r="C29" s="49" t="n">
        <f aca="false">Assumptions!C5/Operating_Statement!C8</f>
        <v>8.33333333333333</v>
      </c>
      <c r="D29" s="48" t="s">
        <v>296</v>
      </c>
    </row>
    <row r="30" customFormat="false" ht="19.5" hidden="false" customHeight="true" outlineLevel="0" collapsed="false">
      <c r="B30" s="46" t="s">
        <v>297</v>
      </c>
      <c r="C30" s="47" t="n">
        <f aca="false">Operating_Statement!C27/Assumptions!C5</f>
        <v>0.0997467288888889</v>
      </c>
      <c r="D30" s="48" t="s">
        <v>298</v>
      </c>
    </row>
    <row r="31" customFormat="false" ht="19.5" hidden="false" customHeight="true" outlineLevel="0" collapsed="false">
      <c r="B31" s="46" t="s">
        <v>120</v>
      </c>
      <c r="C31" s="47" t="n">
        <f aca="false">Assumptions!C52</f>
        <v>0.09</v>
      </c>
      <c r="D31" s="48" t="s">
        <v>299</v>
      </c>
    </row>
    <row r="32" customFormat="false" ht="19.5" hidden="false" customHeight="true" outlineLevel="0" collapsed="false">
      <c r="B32" s="46" t="s">
        <v>300</v>
      </c>
      <c r="C32" s="50" t="n">
        <f aca="false">Cash_Flow!H35</f>
        <v>70165842.8646409</v>
      </c>
      <c r="D32" s="48" t="s">
        <v>301</v>
      </c>
    </row>
    <row r="33" customFormat="false" ht="19.5" hidden="false" customHeight="true" outlineLevel="0" collapsed="false">
      <c r="B33" s="46" t="s">
        <v>302</v>
      </c>
      <c r="C33" s="50" t="n">
        <f aca="false">(Cash_Flow!H35)-Assumptions!C5</f>
        <v>13915842.8646409</v>
      </c>
      <c r="D33" s="48" t="s">
        <v>303</v>
      </c>
    </row>
    <row r="35" customFormat="false" ht="18" hidden="false" customHeight="true" outlineLevel="0" collapsed="false">
      <c r="B35" s="9" t="s">
        <v>304</v>
      </c>
      <c r="C35" s="9"/>
      <c r="D35" s="9"/>
    </row>
    <row r="37" customFormat="false" ht="19.5" hidden="false" customHeight="true" outlineLevel="0" collapsed="false">
      <c r="B37" s="46" t="s">
        <v>305</v>
      </c>
      <c r="C37" s="50" t="n">
        <f aca="false">NPV(C44,Cash_Flow!D40:H40)+Cash_Flow!C40</f>
        <v>5801178.43679059</v>
      </c>
      <c r="D37" s="48" t="s">
        <v>306</v>
      </c>
    </row>
    <row r="38" customFormat="false" ht="19.5" hidden="false" customHeight="true" outlineLevel="0" collapsed="false">
      <c r="B38" s="46" t="s">
        <v>307</v>
      </c>
      <c r="C38" s="50" t="n">
        <f aca="false">Cash_Flow!H41</f>
        <v>23398831.4805246</v>
      </c>
      <c r="D38" s="48" t="s">
        <v>308</v>
      </c>
    </row>
    <row r="39" customFormat="false" ht="19.5" hidden="false" customHeight="true" outlineLevel="0" collapsed="false">
      <c r="B39" s="46" t="s">
        <v>309</v>
      </c>
      <c r="C39" s="50" t="n">
        <f aca="false">AVERAGE(Cash_Flow!D30:H30)</f>
        <v>2531636.0946353</v>
      </c>
      <c r="D39" s="48" t="s">
        <v>310</v>
      </c>
    </row>
    <row r="40" customFormat="false" ht="19.5" hidden="false" customHeight="true" outlineLevel="0" collapsed="false">
      <c r="B40" s="46" t="s">
        <v>311</v>
      </c>
      <c r="C40" s="47" t="n">
        <f aca="false">AVERAGE(Returns_Analysis!C21:C25)</f>
        <v>0.117973430942667</v>
      </c>
      <c r="D40" s="48" t="s">
        <v>312</v>
      </c>
    </row>
    <row r="42" customFormat="false" ht="18" hidden="false" customHeight="true" outlineLevel="0" collapsed="false">
      <c r="B42" s="9" t="s">
        <v>313</v>
      </c>
      <c r="C42" s="9"/>
      <c r="D42" s="9"/>
    </row>
    <row r="44" customFormat="false" ht="19.5" hidden="false" customHeight="true" outlineLevel="0" collapsed="false">
      <c r="B44" s="46" t="s">
        <v>314</v>
      </c>
      <c r="C44" s="51" t="n">
        <v>0.12</v>
      </c>
      <c r="D44" s="48" t="s">
        <v>315</v>
      </c>
    </row>
    <row r="51" customFormat="false" ht="18" hidden="false" customHeight="true" outlineLevel="0" collapsed="false">
      <c r="B51" s="9" t="s">
        <v>316</v>
      </c>
      <c r="C51" s="9"/>
      <c r="D51" s="9"/>
    </row>
    <row r="53" customFormat="false" ht="18" hidden="false" customHeight="true" outlineLevel="0" collapsed="false">
      <c r="B53" s="10" t="s">
        <v>148</v>
      </c>
      <c r="C53" s="10" t="s">
        <v>228</v>
      </c>
      <c r="D53" s="10" t="s">
        <v>229</v>
      </c>
    </row>
    <row r="54" customFormat="false" ht="19.5" hidden="false" customHeight="true" outlineLevel="0" collapsed="false">
      <c r="B54" s="46" t="s">
        <v>151</v>
      </c>
      <c r="C54" s="39" t="n">
        <f aca="false">Cash_Flow!D20/Cash_Flow!D23</f>
        <v>2.02320663123761</v>
      </c>
      <c r="D54" s="7" t="n">
        <f aca="false">Operating_Statement!C27/Assumptions!C11</f>
        <v>0.153456505982906</v>
      </c>
    </row>
    <row r="55" customFormat="false" ht="19.5" hidden="false" customHeight="true" outlineLevel="0" collapsed="false">
      <c r="B55" s="46" t="s">
        <v>152</v>
      </c>
      <c r="C55" s="39" t="n">
        <f aca="false">Cash_Flow!E20/Cash_Flow!E23</f>
        <v>2.08390064857825</v>
      </c>
      <c r="D55" s="7" t="n">
        <f aca="false">Operating_Statement!D27/Assumptions!C11</f>
        <v>0.158060035692308</v>
      </c>
    </row>
    <row r="56" customFormat="false" ht="19.5" hidden="false" customHeight="true" outlineLevel="0" collapsed="false">
      <c r="B56" s="46" t="s">
        <v>153</v>
      </c>
      <c r="C56" s="39" t="n">
        <f aca="false">Cash_Flow!F20/Cash_Flow!F23</f>
        <v>2.14641541008323</v>
      </c>
      <c r="D56" s="7" t="n">
        <f aca="false">Operating_Statement!E27/Assumptions!C11</f>
        <v>0.162801665501538</v>
      </c>
    </row>
    <row r="57" customFormat="false" ht="19.5" hidden="false" customHeight="true" outlineLevel="0" collapsed="false">
      <c r="B57" s="46" t="s">
        <v>154</v>
      </c>
      <c r="C57" s="39" t="n">
        <f aca="false">Cash_Flow!G20/Cash_Flow!G23</f>
        <v>2.21080553540503</v>
      </c>
      <c r="D57" s="7" t="n">
        <f aca="false">Operating_Statement!F27/Assumptions!C11</f>
        <v>0.167685538210892</v>
      </c>
    </row>
    <row r="58" customFormat="false" ht="19.5" hidden="false" customHeight="true" outlineLevel="0" collapsed="false">
      <c r="B58" s="46" t="s">
        <v>155</v>
      </c>
      <c r="C58" s="39" t="n">
        <f aca="false">Cash_Flow!H20/Cash_Flow!H23</f>
        <v>2.27712728269217</v>
      </c>
      <c r="D58" s="7" t="n">
        <f aca="false">Operating_Statement!G27/Assumptions!C11</f>
        <v>0.172715920897578</v>
      </c>
    </row>
    <row r="69" customFormat="false" ht="18" hidden="false" customHeight="true" outlineLevel="0" collapsed="false"/>
    <row r="71" customFormat="false" ht="16.5" hidden="false" customHeight="true" outlineLevel="0" collapsed="false"/>
    <row r="72" customFormat="false" ht="16.5" hidden="false" customHeight="true" outlineLevel="0" collapsed="false"/>
    <row r="73" customFormat="false" ht="16.5" hidden="false" customHeight="true" outlineLevel="0" collapsed="false"/>
    <row r="74" customFormat="false" ht="16.5" hidden="false" customHeight="true" outlineLevel="0" collapsed="false"/>
    <row r="75" customFormat="false" ht="16.5" hidden="false" customHeight="true" outlineLevel="0" collapsed="false"/>
    <row r="76" customFormat="false" ht="16.5" hidden="false" customHeight="true" outlineLevel="0" collapsed="false"/>
    <row r="78" customFormat="false" ht="16.5" hidden="false" customHeight="true" outlineLevel="0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2:H43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2" activeCellId="0" sqref="B2"/>
    </sheetView>
  </sheetViews>
  <sheetFormatPr defaultColWidth="7.75390625" defaultRowHeight="15" zeroHeight="false" outlineLevelRow="0" outlineLevelCol="0"/>
  <cols>
    <col collapsed="false" customWidth="true" hidden="false" outlineLevel="0" max="2" min="2" style="1" width="25.01"/>
    <col collapsed="false" customWidth="true" hidden="false" outlineLevel="0" max="6" min="3" style="1" width="12.51"/>
    <col collapsed="false" customWidth="true" hidden="false" outlineLevel="0" max="7" min="7" style="1" width="15.01"/>
    <col collapsed="false" customWidth="true" hidden="false" outlineLevel="0" max="8" min="8" style="1" width="13.75"/>
  </cols>
  <sheetData>
    <row r="2" s="1" customFormat="true" ht="24.75" hidden="false" customHeight="true" outlineLevel="0" collapsed="false">
      <c r="B2" s="8" t="s">
        <v>31</v>
      </c>
    </row>
    <row r="4" s="1" customFormat="true" ht="18" hidden="false" customHeight="true" outlineLevel="0" collapsed="false">
      <c r="B4" s="9" t="s">
        <v>32</v>
      </c>
    </row>
    <row r="5" s="1" customFormat="true" ht="19.5" hidden="false" customHeight="true" outlineLevel="0" collapsed="false">
      <c r="B5" s="1" t="s">
        <v>33</v>
      </c>
      <c r="C5" s="1" t="s">
        <v>4</v>
      </c>
    </row>
    <row r="6" s="1" customFormat="true" ht="19.5" hidden="false" customHeight="true" outlineLevel="0" collapsed="false">
      <c r="B6" s="1" t="s">
        <v>34</v>
      </c>
      <c r="C6" s="1" t="s">
        <v>6</v>
      </c>
    </row>
    <row r="7" s="1" customFormat="true" ht="19.5" hidden="false" customHeight="true" outlineLevel="0" collapsed="false">
      <c r="B7" s="1" t="s">
        <v>35</v>
      </c>
      <c r="C7" s="1" t="s">
        <v>36</v>
      </c>
    </row>
    <row r="8" s="1" customFormat="true" ht="19.5" hidden="false" customHeight="true" outlineLevel="0" collapsed="false">
      <c r="B8" s="1" t="s">
        <v>37</v>
      </c>
      <c r="C8" s="1" t="n">
        <v>2018</v>
      </c>
    </row>
    <row r="9" s="1" customFormat="true" ht="19.5" hidden="false" customHeight="true" outlineLevel="0" collapsed="false">
      <c r="B9" s="1" t="s">
        <v>38</v>
      </c>
      <c r="C9" s="1" t="n">
        <v>2023</v>
      </c>
    </row>
    <row r="10" s="1" customFormat="true" ht="19.5" hidden="false" customHeight="true" outlineLevel="0" collapsed="false">
      <c r="B10" s="1" t="s">
        <v>39</v>
      </c>
      <c r="C10" s="1" t="s">
        <v>40</v>
      </c>
    </row>
    <row r="11" s="1" customFormat="true" ht="19.5" hidden="false" customHeight="true" outlineLevel="0" collapsed="false">
      <c r="B11" s="1" t="s">
        <v>41</v>
      </c>
      <c r="C11" s="1" t="n">
        <v>8</v>
      </c>
    </row>
    <row r="12" s="1" customFormat="true" ht="19.5" hidden="false" customHeight="true" outlineLevel="0" collapsed="false">
      <c r="B12" s="1" t="s">
        <v>42</v>
      </c>
      <c r="C12" s="1" t="n">
        <f aca="false" t="array" ref="C12:C12">Assumptions!C25</f>
        <v>250</v>
      </c>
    </row>
    <row r="13" s="1" customFormat="true" ht="19.5" hidden="false" customHeight="true" outlineLevel="0" collapsed="false">
      <c r="B13" s="1" t="s">
        <v>43</v>
      </c>
      <c r="C13" s="1" t="n">
        <v>225000</v>
      </c>
      <c r="D13" s="1" t="s">
        <v>13</v>
      </c>
    </row>
    <row r="14" s="1" customFormat="true" ht="19.5" hidden="false" customHeight="true" outlineLevel="0" collapsed="false">
      <c r="B14" s="1" t="s">
        <v>44</v>
      </c>
      <c r="C14" s="1" t="n">
        <f aca="false">C13/C12</f>
        <v>900</v>
      </c>
      <c r="D14" s="1" t="s">
        <v>13</v>
      </c>
    </row>
    <row r="15" s="1" customFormat="true" ht="19.5" hidden="false" customHeight="true" outlineLevel="0" collapsed="false">
      <c r="B15" s="1" t="s">
        <v>45</v>
      </c>
      <c r="C15" s="1" t="n">
        <v>375</v>
      </c>
    </row>
    <row r="16" s="1" customFormat="true" ht="19.5" hidden="false" customHeight="true" outlineLevel="0" collapsed="false">
      <c r="B16" s="1" t="s">
        <v>46</v>
      </c>
      <c r="C16" s="1" t="n">
        <f aca="false">C15/C12</f>
        <v>1.5</v>
      </c>
      <c r="D16" s="1" t="s">
        <v>47</v>
      </c>
    </row>
    <row r="18" s="1" customFormat="true" ht="18" hidden="false" customHeight="true" outlineLevel="0" collapsed="false">
      <c r="B18" s="9" t="s">
        <v>48</v>
      </c>
    </row>
    <row r="19" s="1" customFormat="true" ht="18" hidden="false" customHeight="true" outlineLevel="0" collapsed="false">
      <c r="B19" s="10" t="s">
        <v>49</v>
      </c>
      <c r="C19" s="10" t="s">
        <v>50</v>
      </c>
      <c r="D19" s="10" t="s">
        <v>51</v>
      </c>
      <c r="E19" s="10" t="s">
        <v>52</v>
      </c>
      <c r="F19" s="10" t="s">
        <v>53</v>
      </c>
      <c r="G19" s="10" t="s">
        <v>54</v>
      </c>
      <c r="H19" s="10" t="s">
        <v>55</v>
      </c>
    </row>
    <row r="20" s="1" customFormat="true" ht="19.5" hidden="false" customHeight="true" outlineLevel="0" collapsed="false">
      <c r="B20" s="1" t="s">
        <v>56</v>
      </c>
      <c r="C20" s="1" t="n">
        <v>25</v>
      </c>
      <c r="D20" s="7" t="n">
        <f aca="false">C20/$C$12</f>
        <v>0.1</v>
      </c>
      <c r="E20" s="1" t="n">
        <v>550</v>
      </c>
      <c r="F20" s="1" t="n">
        <f aca="false">C20*E20</f>
        <v>13750</v>
      </c>
      <c r="G20" s="6" t="n">
        <v>1650</v>
      </c>
      <c r="H20" s="6" t="n">
        <f aca="false">G20/E20</f>
        <v>3</v>
      </c>
    </row>
    <row r="21" s="1" customFormat="true" ht="19.5" hidden="false" customHeight="true" outlineLevel="0" collapsed="false">
      <c r="B21" s="1" t="s">
        <v>57</v>
      </c>
      <c r="C21" s="1" t="n">
        <v>75</v>
      </c>
      <c r="D21" s="7" t="n">
        <f aca="false">C21/$C$12</f>
        <v>0.3</v>
      </c>
      <c r="E21" s="1" t="n">
        <v>750</v>
      </c>
      <c r="F21" s="1" t="n">
        <f aca="false">C21*E21</f>
        <v>56250</v>
      </c>
      <c r="G21" s="6" t="n">
        <v>2100</v>
      </c>
      <c r="H21" s="6" t="n">
        <f aca="false">G21/E21</f>
        <v>2.8</v>
      </c>
    </row>
    <row r="22" s="1" customFormat="true" ht="19.5" hidden="false" customHeight="true" outlineLevel="0" collapsed="false">
      <c r="B22" s="1" t="s">
        <v>58</v>
      </c>
      <c r="C22" s="1" t="n">
        <v>100</v>
      </c>
      <c r="D22" s="7" t="n">
        <f aca="false">C22/$C$12</f>
        <v>0.4</v>
      </c>
      <c r="E22" s="1" t="n">
        <v>950</v>
      </c>
      <c r="F22" s="1" t="n">
        <f aca="false">C22*E22</f>
        <v>95000</v>
      </c>
      <c r="G22" s="6" t="n">
        <v>2850</v>
      </c>
      <c r="H22" s="6" t="n">
        <f aca="false">G22/E22</f>
        <v>3</v>
      </c>
    </row>
    <row r="23" s="1" customFormat="true" ht="19.5" hidden="false" customHeight="true" outlineLevel="0" collapsed="false">
      <c r="B23" s="1" t="s">
        <v>59</v>
      </c>
      <c r="C23" s="1" t="n">
        <v>50</v>
      </c>
      <c r="D23" s="7" t="n">
        <f aca="false">C23/$C$12</f>
        <v>0.2</v>
      </c>
      <c r="E23" s="1" t="n">
        <v>1200</v>
      </c>
      <c r="F23" s="1" t="n">
        <f aca="false">C23*E23</f>
        <v>60000</v>
      </c>
      <c r="G23" s="6" t="n">
        <v>3600</v>
      </c>
      <c r="H23" s="6" t="n">
        <f aca="false">G23/E23</f>
        <v>3</v>
      </c>
    </row>
    <row r="24" s="1" customFormat="true" ht="18" hidden="false" customHeight="true" outlineLevel="0" collapsed="false">
      <c r="B24" s="11" t="s">
        <v>60</v>
      </c>
      <c r="C24" s="11" t="n">
        <f aca="false">SUM(C20:C23)</f>
        <v>250</v>
      </c>
      <c r="D24" s="12" t="n">
        <f aca="false">SUM(D20:D23)</f>
        <v>1</v>
      </c>
      <c r="E24" s="11" t="n">
        <f aca="false">SUMPRODUCT(C20:C23,E20:E23)/C24</f>
        <v>900</v>
      </c>
      <c r="F24" s="11" t="n">
        <f aca="false">SUM(F20:F23)</f>
        <v>225000</v>
      </c>
      <c r="G24" s="13" t="n">
        <f aca="false">SUMPRODUCT(C20:C23,G20:G23)/C24</f>
        <v>2655</v>
      </c>
      <c r="H24" s="13" t="n">
        <f aca="false">G24/E24</f>
        <v>2.95</v>
      </c>
    </row>
    <row r="26" s="1" customFormat="true" ht="18" hidden="false" customHeight="true" outlineLevel="0" collapsed="false">
      <c r="B26" s="9" t="s">
        <v>61</v>
      </c>
    </row>
    <row r="27" s="1" customFormat="true" ht="19.5" hidden="false" customHeight="true" outlineLevel="0" collapsed="false">
      <c r="B27" s="1" t="s">
        <v>62</v>
      </c>
    </row>
    <row r="28" s="1" customFormat="true" ht="19.5" hidden="false" customHeight="true" outlineLevel="0" collapsed="false">
      <c r="B28" s="1" t="s">
        <v>63</v>
      </c>
    </row>
    <row r="29" s="1" customFormat="true" ht="19.5" hidden="false" customHeight="true" outlineLevel="0" collapsed="false">
      <c r="B29" s="1" t="s">
        <v>64</v>
      </c>
    </row>
    <row r="30" s="1" customFormat="true" ht="19.5" hidden="false" customHeight="true" outlineLevel="0" collapsed="false">
      <c r="B30" s="1" t="s">
        <v>65</v>
      </c>
    </row>
    <row r="31" s="1" customFormat="true" ht="19.5" hidden="false" customHeight="true" outlineLevel="0" collapsed="false">
      <c r="B31" s="1" t="s">
        <v>66</v>
      </c>
    </row>
    <row r="32" s="1" customFormat="true" ht="19.5" hidden="false" customHeight="true" outlineLevel="0" collapsed="false">
      <c r="B32" s="1" t="s">
        <v>67</v>
      </c>
    </row>
    <row r="33" s="1" customFormat="true" ht="19.5" hidden="false" customHeight="true" outlineLevel="0" collapsed="false">
      <c r="B33" s="1" t="s">
        <v>68</v>
      </c>
    </row>
    <row r="34" s="1" customFormat="true" ht="19.5" hidden="false" customHeight="true" outlineLevel="0" collapsed="false">
      <c r="B34" s="1" t="s">
        <v>69</v>
      </c>
    </row>
    <row r="36" s="1" customFormat="true" ht="18" hidden="false" customHeight="true" outlineLevel="0" collapsed="false">
      <c r="B36" s="9" t="s">
        <v>70</v>
      </c>
    </row>
    <row r="37" s="1" customFormat="true" ht="19.5" hidden="false" customHeight="true" outlineLevel="0" collapsed="false">
      <c r="B37" s="1" t="s">
        <v>35</v>
      </c>
      <c r="C37" s="1" t="s">
        <v>36</v>
      </c>
    </row>
    <row r="38" s="1" customFormat="true" ht="19.5" hidden="false" customHeight="true" outlineLevel="0" collapsed="false">
      <c r="B38" s="1" t="s">
        <v>71</v>
      </c>
      <c r="C38" s="7" t="n">
        <v>0.047</v>
      </c>
    </row>
    <row r="39" s="1" customFormat="true" ht="19.5" hidden="false" customHeight="true" outlineLevel="0" collapsed="false">
      <c r="B39" s="1" t="s">
        <v>72</v>
      </c>
      <c r="C39" s="6" t="n">
        <v>2.85</v>
      </c>
    </row>
    <row r="40" s="1" customFormat="true" ht="19.5" hidden="false" customHeight="true" outlineLevel="0" collapsed="false">
      <c r="B40" s="1" t="s">
        <v>73</v>
      </c>
      <c r="C40" s="1" t="n">
        <v>125000</v>
      </c>
    </row>
    <row r="41" s="1" customFormat="true" ht="19.5" hidden="false" customHeight="true" outlineLevel="0" collapsed="false">
      <c r="B41" s="1" t="s">
        <v>74</v>
      </c>
      <c r="C41" s="6" t="n">
        <v>78500</v>
      </c>
    </row>
    <row r="42" s="1" customFormat="true" ht="19.5" hidden="false" customHeight="true" outlineLevel="0" collapsed="false">
      <c r="B42" s="1" t="s">
        <v>75</v>
      </c>
      <c r="C42" s="7" t="n">
        <v>0.085</v>
      </c>
    </row>
    <row r="43" s="1" customFormat="true" ht="19.5" hidden="false" customHeight="true" outlineLevel="0" collapsed="false">
      <c r="B43" s="1" t="s">
        <v>76</v>
      </c>
      <c r="C43" s="1" t="s">
        <v>77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2:D53"/>
  <sheetViews>
    <sheetView showFormulas="false" showGridLines="false" showRowColHeaders="true" showZeros="true" rightToLeft="false" tabSelected="false" showOutlineSymbols="true" defaultGridColor="true" view="normal" topLeftCell="A17" colorId="64" zoomScale="100" zoomScaleNormal="100" zoomScalePageLayoutView="100" workbookViewId="0">
      <selection pane="topLeft" activeCell="C11" activeCellId="0" sqref="C11"/>
    </sheetView>
  </sheetViews>
  <sheetFormatPr defaultColWidth="7.75390625" defaultRowHeight="15" zeroHeight="false" outlineLevelRow="0" outlineLevelCol="0"/>
  <cols>
    <col collapsed="false" customWidth="true" hidden="false" outlineLevel="0" max="2" min="2" style="1" width="31.26"/>
    <col collapsed="false" customWidth="true" hidden="false" outlineLevel="0" max="3" min="3" style="1" width="16.25"/>
  </cols>
  <sheetData>
    <row r="2" s="1" customFormat="true" ht="24.75" hidden="false" customHeight="true" outlineLevel="0" collapsed="false">
      <c r="B2" s="8" t="s">
        <v>78</v>
      </c>
    </row>
    <row r="4" s="1" customFormat="true" ht="18" hidden="false" customHeight="true" outlineLevel="0" collapsed="false">
      <c r="B4" s="14" t="s">
        <v>79</v>
      </c>
    </row>
    <row r="5" s="1" customFormat="true" ht="19.5" hidden="false" customHeight="true" outlineLevel="0" collapsed="false">
      <c r="B5" s="15" t="s">
        <v>80</v>
      </c>
      <c r="C5" s="16" t="n">
        <v>56250000</v>
      </c>
    </row>
    <row r="6" s="1" customFormat="true" ht="19.5" hidden="false" customHeight="true" outlineLevel="0" collapsed="false">
      <c r="B6" s="15" t="s">
        <v>81</v>
      </c>
      <c r="C6" s="17" t="n">
        <v>0.025</v>
      </c>
    </row>
    <row r="7" s="1" customFormat="true" ht="19.5" hidden="false" customHeight="true" outlineLevel="0" collapsed="false">
      <c r="B7" s="15" t="s">
        <v>82</v>
      </c>
      <c r="C7" s="16" t="n">
        <f aca="false">C5*C6</f>
        <v>1406250</v>
      </c>
    </row>
    <row r="8" s="1" customFormat="true" ht="18" hidden="false" customHeight="true" outlineLevel="0" collapsed="false">
      <c r="B8" s="18" t="s">
        <v>83</v>
      </c>
      <c r="C8" s="19" t="n">
        <v>57656250</v>
      </c>
    </row>
    <row r="9" s="1" customFormat="true" ht="15" hidden="false" customHeight="true" outlineLevel="0" collapsed="false">
      <c r="B9" s="15"/>
      <c r="C9" s="15"/>
    </row>
    <row r="10" s="1" customFormat="true" ht="18" hidden="false" customHeight="true" outlineLevel="0" collapsed="false">
      <c r="B10" s="20" t="s">
        <v>84</v>
      </c>
      <c r="C10" s="15"/>
    </row>
    <row r="11" s="1" customFormat="true" ht="19.5" hidden="false" customHeight="true" outlineLevel="0" collapsed="false">
      <c r="B11" s="15" t="s">
        <v>85</v>
      </c>
      <c r="C11" s="16" t="n">
        <v>36562500</v>
      </c>
    </row>
    <row r="12" s="1" customFormat="true" ht="19.5" hidden="false" customHeight="true" outlineLevel="0" collapsed="false">
      <c r="B12" s="15" t="s">
        <v>86</v>
      </c>
      <c r="C12" s="17" t="n">
        <f aca="false">C11/C5</f>
        <v>0.65</v>
      </c>
    </row>
    <row r="13" s="1" customFormat="true" ht="19.5" hidden="false" customHeight="true" outlineLevel="0" collapsed="false">
      <c r="B13" s="15" t="s">
        <v>87</v>
      </c>
      <c r="C13" s="17" t="n">
        <v>0.065</v>
      </c>
    </row>
    <row r="14" s="1" customFormat="true" ht="19.5" hidden="false" customHeight="true" outlineLevel="0" collapsed="false">
      <c r="B14" s="15" t="s">
        <v>88</v>
      </c>
      <c r="C14" s="15" t="n">
        <v>30</v>
      </c>
      <c r="D14" s="1" t="s">
        <v>23</v>
      </c>
    </row>
    <row r="15" s="1" customFormat="true" ht="19.5" hidden="false" customHeight="true" outlineLevel="0" collapsed="false">
      <c r="B15" s="15" t="s">
        <v>89</v>
      </c>
      <c r="C15" s="15" t="n">
        <v>10</v>
      </c>
      <c r="D15" s="1" t="s">
        <v>23</v>
      </c>
    </row>
    <row r="16" s="1" customFormat="true" ht="19.5" hidden="false" customHeight="true" outlineLevel="0" collapsed="false">
      <c r="B16" s="15" t="s">
        <v>90</v>
      </c>
      <c r="C16" s="15" t="n">
        <v>0</v>
      </c>
      <c r="D16" s="1" t="s">
        <v>23</v>
      </c>
    </row>
    <row r="17" s="1" customFormat="true" ht="19.5" hidden="false" customHeight="true" outlineLevel="0" collapsed="false">
      <c r="B17" s="15" t="s">
        <v>91</v>
      </c>
      <c r="C17" s="17" t="n">
        <v>0.01</v>
      </c>
    </row>
    <row r="18" s="1" customFormat="true" ht="19.5" hidden="false" customHeight="true" outlineLevel="0" collapsed="false">
      <c r="B18" s="15" t="s">
        <v>92</v>
      </c>
      <c r="C18" s="16" t="n">
        <f aca="false">C11*C17</f>
        <v>365625</v>
      </c>
    </row>
    <row r="20" s="1" customFormat="true" ht="18" hidden="false" customHeight="true" outlineLevel="0" collapsed="false">
      <c r="B20" s="14" t="s">
        <v>93</v>
      </c>
    </row>
    <row r="21" s="1" customFormat="true" ht="18" hidden="false" customHeight="true" outlineLevel="0" collapsed="false">
      <c r="B21" s="21" t="s">
        <v>94</v>
      </c>
      <c r="C21" s="22" t="n">
        <v>21093750</v>
      </c>
    </row>
    <row r="22" s="1" customFormat="true" ht="19.5" hidden="false" customHeight="true" outlineLevel="0" collapsed="false">
      <c r="B22" s="1" t="s">
        <v>95</v>
      </c>
      <c r="C22" s="7" t="n">
        <v>0.365853658536585</v>
      </c>
    </row>
    <row r="24" s="1" customFormat="true" ht="18" hidden="false" customHeight="true" outlineLevel="0" collapsed="false">
      <c r="B24" s="14" t="s">
        <v>96</v>
      </c>
    </row>
    <row r="25" s="1" customFormat="true" ht="19.5" hidden="false" customHeight="true" outlineLevel="0" collapsed="false">
      <c r="B25" s="1" t="s">
        <v>42</v>
      </c>
      <c r="C25" s="1" t="n">
        <v>250</v>
      </c>
    </row>
    <row r="26" s="1" customFormat="true" ht="19.5" hidden="false" customHeight="true" outlineLevel="0" collapsed="false">
      <c r="B26" s="1" t="s">
        <v>97</v>
      </c>
      <c r="C26" s="6" t="n">
        <v>10</v>
      </c>
    </row>
    <row r="27" s="1" customFormat="true" ht="19.5" hidden="false" customHeight="true" outlineLevel="0" collapsed="false">
      <c r="B27" s="1" t="s">
        <v>98</v>
      </c>
      <c r="C27" s="7" t="n">
        <v>0.03</v>
      </c>
    </row>
    <row r="28" s="1" customFormat="true" ht="19.5" hidden="false" customHeight="true" outlineLevel="0" collapsed="false">
      <c r="B28" s="1" t="s">
        <v>99</v>
      </c>
      <c r="C28" s="7" t="n">
        <v>0.05</v>
      </c>
    </row>
    <row r="29" s="1" customFormat="true" ht="19.5" hidden="false" customHeight="true" outlineLevel="0" collapsed="false">
      <c r="B29" s="1" t="s">
        <v>100</v>
      </c>
      <c r="C29" s="7" t="n">
        <v>0.01</v>
      </c>
    </row>
    <row r="30" s="1" customFormat="true" ht="19.5" hidden="false" customHeight="true" outlineLevel="0" collapsed="false">
      <c r="B30" s="1" t="s">
        <v>101</v>
      </c>
      <c r="C30" s="7" t="n">
        <v>0.05</v>
      </c>
    </row>
    <row r="32" s="1" customFormat="true" ht="18" hidden="false" customHeight="true" outlineLevel="0" collapsed="false">
      <c r="B32" s="14" t="s">
        <v>102</v>
      </c>
    </row>
    <row r="33" s="1" customFormat="true" ht="19.5" hidden="false" customHeight="true" outlineLevel="0" collapsed="false">
      <c r="B33" s="1" t="s">
        <v>103</v>
      </c>
      <c r="C33" s="7" t="n">
        <v>0.12</v>
      </c>
    </row>
    <row r="34" s="1" customFormat="true" ht="19.5" hidden="false" customHeight="true" outlineLevel="0" collapsed="false">
      <c r="B34" s="1" t="s">
        <v>104</v>
      </c>
      <c r="C34" s="6" t="n">
        <v>125000</v>
      </c>
    </row>
    <row r="35" s="1" customFormat="true" ht="19.5" hidden="false" customHeight="true" outlineLevel="0" collapsed="false">
      <c r="B35" s="1" t="s">
        <v>105</v>
      </c>
      <c r="C35" s="6" t="n">
        <v>180000</v>
      </c>
    </row>
    <row r="36" s="1" customFormat="true" ht="19.5" hidden="false" customHeight="true" outlineLevel="0" collapsed="false">
      <c r="B36" s="1" t="s">
        <v>106</v>
      </c>
      <c r="C36" s="6" t="n">
        <v>225000</v>
      </c>
    </row>
    <row r="37" s="1" customFormat="true" ht="19.5" hidden="false" customHeight="true" outlineLevel="0" collapsed="false">
      <c r="B37" s="1" t="s">
        <v>107</v>
      </c>
      <c r="C37" s="6" t="n">
        <v>450000</v>
      </c>
    </row>
    <row r="38" s="1" customFormat="true" ht="19.5" hidden="false" customHeight="true" outlineLevel="0" collapsed="false">
      <c r="B38" s="1" t="s">
        <v>108</v>
      </c>
      <c r="C38" s="6" t="n">
        <v>75000</v>
      </c>
    </row>
    <row r="39" s="1" customFormat="true" ht="19.5" hidden="false" customHeight="true" outlineLevel="0" collapsed="false">
      <c r="B39" s="1" t="s">
        <v>109</v>
      </c>
      <c r="C39" s="6" t="n">
        <v>60000</v>
      </c>
    </row>
    <row r="40" s="1" customFormat="true" ht="19.5" hidden="false" customHeight="true" outlineLevel="0" collapsed="false">
      <c r="B40" s="1" t="s">
        <v>110</v>
      </c>
      <c r="C40" s="7" t="n">
        <v>0.04</v>
      </c>
    </row>
    <row r="41" s="1" customFormat="true" ht="19.5" hidden="false" customHeight="true" outlineLevel="0" collapsed="false">
      <c r="B41" s="1" t="s">
        <v>111</v>
      </c>
      <c r="C41" s="6" t="n">
        <v>95000</v>
      </c>
    </row>
    <row r="42" s="1" customFormat="true" ht="19.5" hidden="false" customHeight="true" outlineLevel="0" collapsed="false">
      <c r="B42" s="1" t="s">
        <v>112</v>
      </c>
      <c r="C42" s="7" t="n">
        <v>0.035</v>
      </c>
    </row>
    <row r="44" s="1" customFormat="true" ht="18" hidden="false" customHeight="true" outlineLevel="0" collapsed="false">
      <c r="B44" s="14" t="s">
        <v>113</v>
      </c>
    </row>
    <row r="45" s="1" customFormat="true" ht="19.5" hidden="false" customHeight="true" outlineLevel="0" collapsed="false">
      <c r="B45" s="1" t="s">
        <v>114</v>
      </c>
      <c r="C45" s="6" t="n">
        <v>1500</v>
      </c>
    </row>
    <row r="46" s="1" customFormat="true" ht="19.5" hidden="false" customHeight="true" outlineLevel="0" collapsed="false">
      <c r="B46" s="1" t="s">
        <v>115</v>
      </c>
      <c r="C46" s="7" t="n">
        <v>0.02</v>
      </c>
    </row>
    <row r="47" s="1" customFormat="true" ht="19.5" hidden="false" customHeight="true" outlineLevel="0" collapsed="false">
      <c r="B47" s="1" t="s">
        <v>116</v>
      </c>
      <c r="C47" s="6" t="n">
        <v>3000</v>
      </c>
    </row>
    <row r="48" s="1" customFormat="true" ht="19.5" hidden="false" customHeight="true" outlineLevel="0" collapsed="false">
      <c r="B48" s="1" t="s">
        <v>117</v>
      </c>
      <c r="C48" s="7" t="n">
        <v>0.35</v>
      </c>
    </row>
    <row r="50" s="1" customFormat="true" ht="18" hidden="false" customHeight="true" outlineLevel="0" collapsed="false">
      <c r="B50" s="14" t="s">
        <v>118</v>
      </c>
    </row>
    <row r="51" s="1" customFormat="true" ht="19.5" hidden="false" customHeight="true" outlineLevel="0" collapsed="false">
      <c r="B51" s="1" t="s">
        <v>119</v>
      </c>
      <c r="C51" s="1" t="n">
        <v>5</v>
      </c>
    </row>
    <row r="52" s="1" customFormat="true" ht="19.5" hidden="false" customHeight="true" outlineLevel="0" collapsed="false">
      <c r="B52" s="1" t="s">
        <v>120</v>
      </c>
      <c r="C52" s="7" t="n">
        <v>0.09</v>
      </c>
    </row>
    <row r="53" s="1" customFormat="true" ht="19.5" hidden="false" customHeight="true" outlineLevel="0" collapsed="false">
      <c r="B53" s="1" t="s">
        <v>121</v>
      </c>
      <c r="C53" s="7" t="n">
        <v>0.02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2:J39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2" activeCellId="0" sqref="B2"/>
    </sheetView>
  </sheetViews>
  <sheetFormatPr defaultColWidth="7.75390625" defaultRowHeight="15" zeroHeight="false" outlineLevelRow="0" outlineLevelCol="0"/>
  <cols>
    <col collapsed="false" customWidth="true" hidden="false" outlineLevel="0" max="2" min="2" style="1" width="18.75"/>
    <col collapsed="false" customWidth="true" hidden="false" outlineLevel="0" max="3" min="3" style="1" width="10.01"/>
    <col collapsed="false" customWidth="true" hidden="false" outlineLevel="0" max="4" min="4" style="1" width="11.26"/>
    <col collapsed="false" customWidth="true" hidden="false" outlineLevel="0" max="5" min="5" style="1" width="10.01"/>
    <col collapsed="false" customWidth="true" hidden="false" outlineLevel="0" max="6" min="6" style="1" width="12.51"/>
    <col collapsed="false" customWidth="true" hidden="false" outlineLevel="0" max="8" min="7" style="1" width="13.75"/>
    <col collapsed="false" customWidth="true" hidden="false" outlineLevel="0" max="9" min="9" style="1" width="12.51"/>
    <col collapsed="false" customWidth="true" hidden="false" outlineLevel="0" max="10" min="10" style="1" width="15.01"/>
  </cols>
  <sheetData>
    <row r="2" s="1" customFormat="true" ht="24.75" hidden="false" customHeight="true" outlineLevel="0" collapsed="false">
      <c r="B2" s="8" t="s">
        <v>122</v>
      </c>
    </row>
    <row r="4" s="1" customFormat="true" ht="18" hidden="false" customHeight="true" outlineLevel="0" collapsed="false">
      <c r="B4" s="9" t="s">
        <v>123</v>
      </c>
    </row>
    <row r="5" s="1" customFormat="true" ht="18" hidden="false" customHeight="true" outlineLevel="0" collapsed="false">
      <c r="B5" s="10" t="s">
        <v>49</v>
      </c>
      <c r="C5" s="10" t="s">
        <v>50</v>
      </c>
      <c r="D5" s="10" t="s">
        <v>124</v>
      </c>
      <c r="E5" s="10" t="s">
        <v>125</v>
      </c>
      <c r="F5" s="10" t="s">
        <v>126</v>
      </c>
      <c r="G5" s="10" t="s">
        <v>54</v>
      </c>
      <c r="H5" s="10" t="s">
        <v>127</v>
      </c>
      <c r="I5" s="10" t="s">
        <v>128</v>
      </c>
      <c r="J5" s="10" t="s">
        <v>129</v>
      </c>
    </row>
    <row r="6" s="1" customFormat="true" ht="19.5" hidden="false" customHeight="true" outlineLevel="0" collapsed="false">
      <c r="B6" s="1" t="s">
        <v>56</v>
      </c>
      <c r="C6" s="1" t="n">
        <f aca="false" t="array" ref="C6:C6">Property_Info!C20</f>
        <v>25</v>
      </c>
      <c r="D6" s="1" t="n">
        <v>24</v>
      </c>
      <c r="E6" s="1" t="n">
        <f aca="false">C6-D6</f>
        <v>1</v>
      </c>
      <c r="F6" s="7" t="n">
        <f aca="false">D6/C6</f>
        <v>0.96</v>
      </c>
      <c r="G6" s="6" t="n">
        <f aca="false" t="array" ref="G6:G6">Property_Info!G20</f>
        <v>1650</v>
      </c>
      <c r="H6" s="6" t="n">
        <v>1620</v>
      </c>
      <c r="I6" s="6" t="n">
        <f aca="false">H6-G6</f>
        <v>-30</v>
      </c>
      <c r="J6" s="6" t="n">
        <f aca="false">D6*H6*12</f>
        <v>466560</v>
      </c>
    </row>
    <row r="7" s="1" customFormat="true" ht="19.5" hidden="false" customHeight="true" outlineLevel="0" collapsed="false">
      <c r="B7" s="1" t="s">
        <v>57</v>
      </c>
      <c r="C7" s="1" t="n">
        <f aca="false" t="array" ref="C7:C7">Property_Info!C21</f>
        <v>75</v>
      </c>
      <c r="D7" s="1" t="n">
        <v>72</v>
      </c>
      <c r="E7" s="1" t="n">
        <f aca="false">C7-D7</f>
        <v>3</v>
      </c>
      <c r="F7" s="7" t="n">
        <f aca="false">D7/C7</f>
        <v>0.96</v>
      </c>
      <c r="G7" s="6" t="n">
        <f aca="false" t="array" ref="G7:G7">Property_Info!G21</f>
        <v>2100</v>
      </c>
      <c r="H7" s="6" t="n">
        <v>2050</v>
      </c>
      <c r="I7" s="6" t="n">
        <f aca="false">H7-G7</f>
        <v>-50</v>
      </c>
      <c r="J7" s="6" t="n">
        <f aca="false">D7*H7*12</f>
        <v>1771200</v>
      </c>
    </row>
    <row r="8" s="1" customFormat="true" ht="19.5" hidden="false" customHeight="true" outlineLevel="0" collapsed="false">
      <c r="B8" s="1" t="s">
        <v>58</v>
      </c>
      <c r="C8" s="1" t="n">
        <f aca="false" t="array" ref="C8:C8">Property_Info!C22</f>
        <v>100</v>
      </c>
      <c r="D8" s="1" t="n">
        <v>95</v>
      </c>
      <c r="E8" s="1" t="n">
        <f aca="false">C8-D8</f>
        <v>5</v>
      </c>
      <c r="F8" s="7" t="n">
        <f aca="false">D8/C8</f>
        <v>0.95</v>
      </c>
      <c r="G8" s="6" t="n">
        <f aca="false" t="array" ref="G8:G8">Property_Info!G22</f>
        <v>2850</v>
      </c>
      <c r="H8" s="6" t="n">
        <v>2800</v>
      </c>
      <c r="I8" s="6" t="n">
        <f aca="false">H8-G8</f>
        <v>-50</v>
      </c>
      <c r="J8" s="6" t="n">
        <f aca="false">D8*H8*12</f>
        <v>3192000</v>
      </c>
    </row>
    <row r="9" s="1" customFormat="true" ht="19.5" hidden="false" customHeight="true" outlineLevel="0" collapsed="false">
      <c r="B9" s="1" t="s">
        <v>59</v>
      </c>
      <c r="C9" s="1" t="n">
        <f aca="false" t="array" ref="C9:C9">Property_Info!C23</f>
        <v>50</v>
      </c>
      <c r="D9" s="1" t="n">
        <v>47</v>
      </c>
      <c r="E9" s="1" t="n">
        <f aca="false">C9-D9</f>
        <v>3</v>
      </c>
      <c r="F9" s="7" t="n">
        <f aca="false">D9/C9</f>
        <v>0.94</v>
      </c>
      <c r="G9" s="6" t="n">
        <f aca="false" t="array" ref="G9:G9">Property_Info!G23</f>
        <v>3600</v>
      </c>
      <c r="H9" s="6" t="n">
        <v>3550</v>
      </c>
      <c r="I9" s="6" t="n">
        <f aca="false">H9-G9</f>
        <v>-50</v>
      </c>
      <c r="J9" s="6" t="n">
        <f aca="false">D9*H9*12</f>
        <v>2002200</v>
      </c>
    </row>
    <row r="10" s="1" customFormat="true" ht="18" hidden="false" customHeight="true" outlineLevel="0" collapsed="false">
      <c r="B10" s="11" t="s">
        <v>60</v>
      </c>
      <c r="C10" s="11" t="n">
        <f aca="false">SUM(C6:C9)</f>
        <v>250</v>
      </c>
      <c r="D10" s="11" t="n">
        <f aca="false">SUM(D6:D9)</f>
        <v>238</v>
      </c>
      <c r="E10" s="11" t="n">
        <f aca="false">SUM(E6:E9)</f>
        <v>12</v>
      </c>
      <c r="F10" s="12" t="n">
        <f aca="false">D10/C10</f>
        <v>0.952</v>
      </c>
      <c r="G10" s="13" t="n">
        <f aca="false">SUMPRODUCT(C6:C9,G6:G9)/C10</f>
        <v>2655</v>
      </c>
      <c r="H10" s="13" t="n">
        <f aca="false">SUMPRODUCT(D6:D9,H6:H9)/D10</f>
        <v>2602.2268907563</v>
      </c>
      <c r="I10" s="13" t="n">
        <f aca="false">H10-G10</f>
        <v>-52.7731092436975</v>
      </c>
      <c r="J10" s="13" t="n">
        <f aca="false">SUM(J6:J9)</f>
        <v>7431960</v>
      </c>
    </row>
    <row r="12" s="1" customFormat="true" ht="18" hidden="false" customHeight="true" outlineLevel="0" collapsed="false">
      <c r="B12" s="9" t="s">
        <v>130</v>
      </c>
    </row>
    <row r="13" s="1" customFormat="true" ht="18" hidden="false" customHeight="true" outlineLevel="0" collapsed="false">
      <c r="B13" s="10" t="s">
        <v>131</v>
      </c>
      <c r="C13" s="10" t="s">
        <v>132</v>
      </c>
      <c r="D13" s="10" t="s">
        <v>51</v>
      </c>
      <c r="E13" s="10" t="s">
        <v>133</v>
      </c>
    </row>
    <row r="14" s="1" customFormat="true" ht="19.5" hidden="false" customHeight="true" outlineLevel="0" collapsed="false">
      <c r="B14" s="1" t="s">
        <v>134</v>
      </c>
      <c r="C14" s="1" t="n">
        <v>18</v>
      </c>
      <c r="D14" s="7" t="n">
        <f aca="false">C14/$D$10</f>
        <v>0.0756302521008403</v>
      </c>
      <c r="E14" s="7" t="n">
        <f aca="false" t="array" ref="E14:E14">D14</f>
        <v>0.0756302521008403</v>
      </c>
    </row>
    <row r="15" s="1" customFormat="true" ht="19.5" hidden="false" customHeight="true" outlineLevel="0" collapsed="false">
      <c r="B15" s="1" t="s">
        <v>135</v>
      </c>
      <c r="C15" s="1" t="n">
        <v>22</v>
      </c>
      <c r="D15" s="7" t="n">
        <f aca="false">C15/$D$10</f>
        <v>0.092436974789916</v>
      </c>
      <c r="E15" s="7" t="n">
        <f aca="false">E14+D15</f>
        <v>0.168067226890756</v>
      </c>
    </row>
    <row r="16" s="1" customFormat="true" ht="19.5" hidden="false" customHeight="true" outlineLevel="0" collapsed="false">
      <c r="B16" s="1" t="s">
        <v>136</v>
      </c>
      <c r="C16" s="1" t="n">
        <v>25</v>
      </c>
      <c r="D16" s="7" t="n">
        <f aca="false">C16/$D$10</f>
        <v>0.105042016806723</v>
      </c>
      <c r="E16" s="7" t="n">
        <f aca="false">E15+D16</f>
        <v>0.273109243697479</v>
      </c>
    </row>
    <row r="17" s="1" customFormat="true" ht="19.5" hidden="false" customHeight="true" outlineLevel="0" collapsed="false">
      <c r="B17" s="1" t="s">
        <v>137</v>
      </c>
      <c r="C17" s="1" t="n">
        <v>20</v>
      </c>
      <c r="D17" s="7" t="n">
        <f aca="false">C17/$D$10</f>
        <v>0.0840336134453782</v>
      </c>
      <c r="E17" s="7" t="n">
        <f aca="false">E16+D17</f>
        <v>0.357142857142857</v>
      </c>
    </row>
    <row r="18" s="1" customFormat="true" ht="19.5" hidden="false" customHeight="true" outlineLevel="0" collapsed="false">
      <c r="B18" s="1" t="s">
        <v>138</v>
      </c>
      <c r="C18" s="1" t="n">
        <v>19</v>
      </c>
      <c r="D18" s="7" t="n">
        <f aca="false">C18/$D$10</f>
        <v>0.0798319327731092</v>
      </c>
      <c r="E18" s="7" t="n">
        <f aca="false">E17+D18</f>
        <v>0.436974789915966</v>
      </c>
    </row>
    <row r="19" s="1" customFormat="true" ht="19.5" hidden="false" customHeight="true" outlineLevel="0" collapsed="false">
      <c r="B19" s="1" t="s">
        <v>139</v>
      </c>
      <c r="C19" s="1" t="n">
        <v>23</v>
      </c>
      <c r="D19" s="7" t="n">
        <f aca="false">C19/$D$10</f>
        <v>0.0966386554621849</v>
      </c>
      <c r="E19" s="7" t="n">
        <f aca="false">E18+D19</f>
        <v>0.533613445378151</v>
      </c>
    </row>
    <row r="20" s="1" customFormat="true" ht="19.5" hidden="false" customHeight="true" outlineLevel="0" collapsed="false">
      <c r="B20" s="1" t="s">
        <v>140</v>
      </c>
      <c r="C20" s="1" t="n">
        <v>28</v>
      </c>
      <c r="D20" s="7" t="n">
        <f aca="false">C20/$D$10</f>
        <v>0.117647058823529</v>
      </c>
      <c r="E20" s="7" t="n">
        <f aca="false">E19+D20</f>
        <v>0.651260504201681</v>
      </c>
    </row>
    <row r="21" s="1" customFormat="true" ht="19.5" hidden="false" customHeight="true" outlineLevel="0" collapsed="false">
      <c r="B21" s="1" t="s">
        <v>141</v>
      </c>
      <c r="C21" s="1" t="n">
        <v>24</v>
      </c>
      <c r="D21" s="7" t="n">
        <f aca="false">C21/$D$10</f>
        <v>0.100840336134454</v>
      </c>
      <c r="E21" s="7" t="n">
        <f aca="false">E20+D21</f>
        <v>0.752100840336135</v>
      </c>
    </row>
    <row r="22" s="1" customFormat="true" ht="19.5" hidden="false" customHeight="true" outlineLevel="0" collapsed="false">
      <c r="B22" s="1" t="s">
        <v>142</v>
      </c>
      <c r="C22" s="1" t="n">
        <v>21</v>
      </c>
      <c r="D22" s="7" t="n">
        <f aca="false">C22/$D$10</f>
        <v>0.0882352941176471</v>
      </c>
      <c r="E22" s="7" t="n">
        <f aca="false">E21+D22</f>
        <v>0.840336134453782</v>
      </c>
    </row>
    <row r="23" s="1" customFormat="true" ht="19.5" hidden="false" customHeight="true" outlineLevel="0" collapsed="false">
      <c r="B23" s="1" t="s">
        <v>143</v>
      </c>
      <c r="C23" s="1" t="n">
        <v>19</v>
      </c>
      <c r="D23" s="7" t="n">
        <f aca="false">C23/$D$10</f>
        <v>0.0798319327731092</v>
      </c>
      <c r="E23" s="7" t="n">
        <f aca="false">E22+D23</f>
        <v>0.920168067226891</v>
      </c>
    </row>
    <row r="24" s="1" customFormat="true" ht="19.5" hidden="false" customHeight="true" outlineLevel="0" collapsed="false">
      <c r="B24" s="1" t="s">
        <v>144</v>
      </c>
      <c r="C24" s="1" t="n">
        <v>20</v>
      </c>
      <c r="D24" s="7" t="n">
        <f aca="false">C24/$D$10</f>
        <v>0.0840336134453782</v>
      </c>
      <c r="E24" s="7" t="n">
        <f aca="false">E23+D24</f>
        <v>1.00420168067227</v>
      </c>
    </row>
    <row r="25" s="1" customFormat="true" ht="19.5" hidden="false" customHeight="true" outlineLevel="0" collapsed="false">
      <c r="B25" s="1" t="s">
        <v>145</v>
      </c>
      <c r="C25" s="1" t="n">
        <v>19</v>
      </c>
      <c r="D25" s="7" t="n">
        <f aca="false">C25/$D$10</f>
        <v>0.0798319327731092</v>
      </c>
      <c r="E25" s="7" t="n">
        <f aca="false">E24+D25</f>
        <v>1.08403361344538</v>
      </c>
    </row>
    <row r="26" s="1" customFormat="true" ht="18" hidden="false" customHeight="true" outlineLevel="0" collapsed="false">
      <c r="B26" s="11" t="s">
        <v>146</v>
      </c>
      <c r="C26" s="11" t="n">
        <f aca="false">SUM(C14:C25)</f>
        <v>258</v>
      </c>
      <c r="D26" s="12" t="n">
        <f aca="false">SUM(D14:D25)</f>
        <v>1.08403361344538</v>
      </c>
      <c r="E26" s="11"/>
    </row>
    <row r="28" s="1" customFormat="true" ht="18" hidden="false" customHeight="true" outlineLevel="0" collapsed="false">
      <c r="B28" s="9" t="s">
        <v>147</v>
      </c>
    </row>
    <row r="29" s="1" customFormat="true" ht="18" hidden="false" customHeight="true" outlineLevel="0" collapsed="false">
      <c r="B29" s="10" t="s">
        <v>148</v>
      </c>
      <c r="C29" s="10" t="s">
        <v>149</v>
      </c>
      <c r="D29" s="10" t="s">
        <v>150</v>
      </c>
    </row>
    <row r="30" s="1" customFormat="true" ht="19.5" hidden="false" customHeight="true" outlineLevel="0" collapsed="false">
      <c r="B30" s="1" t="s">
        <v>151</v>
      </c>
      <c r="C30" s="7" t="n">
        <f aca="false" t="array" ref="C30:C30">Assumptions!$C$27</f>
        <v>0.03</v>
      </c>
      <c r="D30" s="6" t="n">
        <f aca="false" t="array" ref="D30:D30">Assumptions!C26</f>
        <v>10</v>
      </c>
    </row>
    <row r="31" s="1" customFormat="true" ht="19.5" hidden="false" customHeight="true" outlineLevel="0" collapsed="false">
      <c r="B31" s="1" t="s">
        <v>152</v>
      </c>
      <c r="C31" s="7" t="n">
        <f aca="false" t="array" ref="C31:C31">Assumptions!$C$27</f>
        <v>0.03</v>
      </c>
      <c r="D31" s="6" t="n">
        <f aca="false">D30*(1+C31)</f>
        <v>10.3</v>
      </c>
    </row>
    <row r="32" s="1" customFormat="true" ht="19.5" hidden="false" customHeight="true" outlineLevel="0" collapsed="false">
      <c r="B32" s="1" t="s">
        <v>153</v>
      </c>
      <c r="C32" s="7" t="n">
        <f aca="false" t="array" ref="C32:C32">Assumptions!$C$27</f>
        <v>0.03</v>
      </c>
      <c r="D32" s="6" t="n">
        <f aca="false">D31*(1+C32)</f>
        <v>10.609</v>
      </c>
    </row>
    <row r="33" s="1" customFormat="true" ht="19.5" hidden="false" customHeight="true" outlineLevel="0" collapsed="false">
      <c r="B33" s="1" t="s">
        <v>154</v>
      </c>
      <c r="C33" s="7" t="n">
        <f aca="false" t="array" ref="C33:C33">Assumptions!$C$27</f>
        <v>0.03</v>
      </c>
      <c r="D33" s="6" t="n">
        <f aca="false">D32*(1+C33)</f>
        <v>10.92727</v>
      </c>
    </row>
    <row r="34" s="1" customFormat="true" ht="19.5" hidden="false" customHeight="true" outlineLevel="0" collapsed="false">
      <c r="B34" s="1" t="s">
        <v>155</v>
      </c>
      <c r="C34" s="7" t="n">
        <f aca="false" t="array" ref="C34:C34">Assumptions!$C$27</f>
        <v>0.03</v>
      </c>
      <c r="D34" s="6" t="n">
        <f aca="false">D33*(1+C34)</f>
        <v>11.2550881</v>
      </c>
    </row>
    <row r="35" s="1" customFormat="true" ht="19.5" hidden="false" customHeight="true" outlineLevel="0" collapsed="false">
      <c r="B35" s="1" t="s">
        <v>156</v>
      </c>
      <c r="C35" s="7" t="n">
        <f aca="false" t="array" ref="C35:C35">Assumptions!$C$27</f>
        <v>0.03</v>
      </c>
      <c r="D35" s="6" t="n">
        <f aca="false">D34*(1+C35)</f>
        <v>11.592740743</v>
      </c>
    </row>
    <row r="36" s="1" customFormat="true" ht="19.5" hidden="false" customHeight="true" outlineLevel="0" collapsed="false">
      <c r="B36" s="1" t="s">
        <v>157</v>
      </c>
      <c r="C36" s="7" t="n">
        <f aca="false" t="array" ref="C36:C36">Assumptions!$C$27</f>
        <v>0.03</v>
      </c>
      <c r="D36" s="6" t="n">
        <f aca="false">D35*(1+C36)</f>
        <v>11.94052296529</v>
      </c>
    </row>
    <row r="37" s="1" customFormat="true" ht="19.5" hidden="false" customHeight="true" outlineLevel="0" collapsed="false">
      <c r="B37" s="1" t="s">
        <v>158</v>
      </c>
      <c r="C37" s="7" t="n">
        <f aca="false" t="array" ref="C37:C37">Assumptions!$C$27</f>
        <v>0.03</v>
      </c>
      <c r="D37" s="6" t="n">
        <f aca="false">D36*(1+C37)</f>
        <v>12.2987386542487</v>
      </c>
    </row>
    <row r="38" s="1" customFormat="true" ht="19.5" hidden="false" customHeight="true" outlineLevel="0" collapsed="false">
      <c r="B38" s="1" t="s">
        <v>159</v>
      </c>
      <c r="C38" s="7" t="n">
        <f aca="false" t="array" ref="C38:C38">Assumptions!$C$27</f>
        <v>0.03</v>
      </c>
      <c r="D38" s="6" t="n">
        <f aca="false">D37*(1+C38)</f>
        <v>12.6677008138762</v>
      </c>
    </row>
    <row r="39" s="1" customFormat="true" ht="19.5" hidden="false" customHeight="true" outlineLevel="0" collapsed="false">
      <c r="B39" s="1" t="s">
        <v>160</v>
      </c>
      <c r="C39" s="7" t="n">
        <f aca="false" t="array" ref="C39:C39">Assumptions!$C$27</f>
        <v>0.03</v>
      </c>
      <c r="D39" s="6" t="n">
        <f aca="false">D38*(1+C39)</f>
        <v>13.0477318382925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2:L40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5" activeCellId="0" sqref="B5"/>
    </sheetView>
  </sheetViews>
  <sheetFormatPr defaultColWidth="7.75390625" defaultRowHeight="15" zeroHeight="false" outlineLevelRow="0" outlineLevelCol="0"/>
  <cols>
    <col collapsed="false" customWidth="true" hidden="false" outlineLevel="0" max="2" min="2" style="1" width="25.01"/>
    <col collapsed="false" customWidth="true" hidden="false" outlineLevel="0" max="12" min="3" style="1" width="13.75"/>
  </cols>
  <sheetData>
    <row r="2" s="1" customFormat="true" ht="24.75" hidden="false" customHeight="true" outlineLevel="0" collapsed="false">
      <c r="B2" s="8" t="s">
        <v>161</v>
      </c>
    </row>
    <row r="3" s="1" customFormat="true" ht="19.5" hidden="false" customHeight="true" outlineLevel="0" collapsed="false">
      <c r="B3" s="1" t="s">
        <v>162</v>
      </c>
    </row>
    <row r="5" s="1" customFormat="true" ht="18" hidden="false" customHeight="true" outlineLevel="0" collapsed="false">
      <c r="B5" s="10" t="s">
        <v>163</v>
      </c>
      <c r="C5" s="23" t="s">
        <v>151</v>
      </c>
      <c r="D5" s="23" t="s">
        <v>152</v>
      </c>
      <c r="E5" s="23" t="s">
        <v>153</v>
      </c>
      <c r="F5" s="23" t="s">
        <v>154</v>
      </c>
      <c r="G5" s="23" t="s">
        <v>155</v>
      </c>
      <c r="H5" s="23" t="s">
        <v>156</v>
      </c>
      <c r="I5" s="23" t="s">
        <v>157</v>
      </c>
      <c r="J5" s="23" t="s">
        <v>158</v>
      </c>
      <c r="K5" s="23" t="s">
        <v>159</v>
      </c>
      <c r="L5" s="23" t="s">
        <v>160</v>
      </c>
    </row>
    <row r="6" s="1" customFormat="true" ht="15" hidden="false" customHeight="true" outlineLevel="0" collapsed="false">
      <c r="C6" s="24"/>
      <c r="D6" s="24"/>
      <c r="E6" s="24"/>
      <c r="F6" s="24"/>
      <c r="G6" s="24"/>
      <c r="H6" s="24"/>
      <c r="I6" s="24"/>
      <c r="J6" s="24"/>
      <c r="K6" s="24"/>
      <c r="L6" s="24"/>
    </row>
    <row r="7" s="1" customFormat="true" ht="18" hidden="false" customHeight="true" outlineLevel="0" collapsed="false">
      <c r="B7" s="9" t="s">
        <v>164</v>
      </c>
      <c r="C7" s="24"/>
      <c r="D7" s="24"/>
      <c r="E7" s="24"/>
      <c r="F7" s="24"/>
      <c r="G7" s="24"/>
      <c r="H7" s="24"/>
      <c r="I7" s="24"/>
      <c r="J7" s="24"/>
      <c r="K7" s="24"/>
      <c r="L7" s="24"/>
    </row>
    <row r="8" s="1" customFormat="true" ht="19.5" hidden="false" customHeight="true" outlineLevel="0" collapsed="false">
      <c r="B8" s="1" t="s">
        <v>165</v>
      </c>
      <c r="C8" s="25" t="n">
        <f aca="false">Assumptions!C25*Assumptions!C26*12*Property_Info!C13/1000</f>
        <v>6750000</v>
      </c>
      <c r="D8" s="25" t="n">
        <f aca="false">C8*(1+Assumptions!$C$27)</f>
        <v>6952500</v>
      </c>
      <c r="E8" s="25" t="n">
        <f aca="false">D8*(1+Assumptions!$C$27)</f>
        <v>7161075</v>
      </c>
      <c r="F8" s="25" t="n">
        <f aca="false">E8*(1+Assumptions!$C$27)</f>
        <v>7375907.25</v>
      </c>
      <c r="G8" s="25" t="n">
        <f aca="false">F8*(1+Assumptions!$C$27)</f>
        <v>7597184.4675</v>
      </c>
      <c r="H8" s="25" t="n">
        <f aca="false">G8*(1+Assumptions!$C$27)</f>
        <v>7825100.001525</v>
      </c>
      <c r="I8" s="25" t="n">
        <f aca="false">H8*(1+Assumptions!$C$27)</f>
        <v>8059853.00157075</v>
      </c>
      <c r="J8" s="25" t="n">
        <f aca="false">I8*(1+Assumptions!$C$27)</f>
        <v>8301648.59161787</v>
      </c>
      <c r="K8" s="25" t="n">
        <f aca="false">J8*(1+Assumptions!$C$27)</f>
        <v>8550698.04936641</v>
      </c>
      <c r="L8" s="25" t="n">
        <f aca="false">K8*(1+Assumptions!$C$27)</f>
        <v>8807218.9908474</v>
      </c>
    </row>
    <row r="9" s="1" customFormat="true" ht="19.5" hidden="false" customHeight="true" outlineLevel="0" collapsed="false">
      <c r="B9" s="1" t="s">
        <v>166</v>
      </c>
      <c r="C9" s="25" t="n">
        <f aca="false">-C8*Assumptions!$C$28</f>
        <v>-337500</v>
      </c>
      <c r="D9" s="25" t="n">
        <f aca="false">-D8*Assumptions!$C$28</f>
        <v>-347625</v>
      </c>
      <c r="E9" s="25" t="n">
        <f aca="false">-E8*Assumptions!$C$28</f>
        <v>-358053.75</v>
      </c>
      <c r="F9" s="25" t="n">
        <f aca="false">-F8*Assumptions!$C$28</f>
        <v>-368795.3625</v>
      </c>
      <c r="G9" s="25" t="n">
        <f aca="false">-G8*Assumptions!$C$28</f>
        <v>-379859.223375</v>
      </c>
      <c r="H9" s="25" t="n">
        <f aca="false">-H8*Assumptions!$C$28</f>
        <v>-391255.00007625</v>
      </c>
      <c r="I9" s="25" t="n">
        <f aca="false">-I8*Assumptions!$C$28</f>
        <v>-402992.650078538</v>
      </c>
      <c r="J9" s="25" t="n">
        <f aca="false">-J8*Assumptions!$C$28</f>
        <v>-415082.429580894</v>
      </c>
      <c r="K9" s="25" t="n">
        <f aca="false">-K8*Assumptions!$C$28</f>
        <v>-427534.902468321</v>
      </c>
      <c r="L9" s="25" t="n">
        <f aca="false">-L8*Assumptions!$C$28</f>
        <v>-440360.94954237</v>
      </c>
    </row>
    <row r="10" s="1" customFormat="true" ht="19.5" hidden="false" customHeight="true" outlineLevel="0" collapsed="false">
      <c r="B10" s="1" t="s">
        <v>167</v>
      </c>
      <c r="C10" s="25" t="n">
        <f aca="false">-(C8+C9)*Assumptions!$C$29</f>
        <v>-64125</v>
      </c>
      <c r="D10" s="25" t="n">
        <f aca="false">-(D8+D9)*Assumptions!$C$29</f>
        <v>-66048.75</v>
      </c>
      <c r="E10" s="25" t="n">
        <f aca="false">-(E8+E9)*Assumptions!$C$29</f>
        <v>-68030.2125</v>
      </c>
      <c r="F10" s="25" t="n">
        <f aca="false">-(F8+F9)*Assumptions!$C$29</f>
        <v>-70071.118875</v>
      </c>
      <c r="G10" s="25" t="n">
        <f aca="false">-(G8+G9)*Assumptions!$C$29</f>
        <v>-72173.25244125</v>
      </c>
      <c r="H10" s="25" t="n">
        <f aca="false">-(H8+H9)*Assumptions!$C$29</f>
        <v>-74338.4500144875</v>
      </c>
      <c r="I10" s="25" t="n">
        <f aca="false">-(I8+I9)*Assumptions!$C$29</f>
        <v>-76568.6035149221</v>
      </c>
      <c r="J10" s="25" t="n">
        <f aca="false">-(J8+J9)*Assumptions!$C$29</f>
        <v>-78865.6616203698</v>
      </c>
      <c r="K10" s="25" t="n">
        <f aca="false">-(K8+K9)*Assumptions!$C$29</f>
        <v>-81231.6314689809</v>
      </c>
      <c r="L10" s="25" t="n">
        <f aca="false">-(L8+L9)*Assumptions!$C$29</f>
        <v>-83668.5804130503</v>
      </c>
    </row>
    <row r="11" s="1" customFormat="true" ht="19.5" hidden="false" customHeight="true" outlineLevel="0" collapsed="false">
      <c r="B11" s="1" t="s">
        <v>168</v>
      </c>
      <c r="C11" s="25" t="n">
        <f aca="false">C8+C9+C10</f>
        <v>6348375</v>
      </c>
      <c r="D11" s="25" t="n">
        <f aca="false">D8+D9+D10</f>
        <v>6538826.25</v>
      </c>
      <c r="E11" s="25" t="n">
        <f aca="false">E8+E9+E10</f>
        <v>6734991.0375</v>
      </c>
      <c r="F11" s="25" t="n">
        <f aca="false">F8+F9+F10</f>
        <v>6937040.768625</v>
      </c>
      <c r="G11" s="25" t="n">
        <f aca="false">G8+G9+G10</f>
        <v>7145151.99168375</v>
      </c>
      <c r="H11" s="25" t="n">
        <f aca="false">H8+H9+H10</f>
        <v>7359506.55143426</v>
      </c>
      <c r="I11" s="25" t="n">
        <f aca="false">I8+I9+I10</f>
        <v>7580291.74797729</v>
      </c>
      <c r="J11" s="25" t="n">
        <f aca="false">J8+J9+J10</f>
        <v>7807700.50041661</v>
      </c>
      <c r="K11" s="25" t="n">
        <f aca="false">K8+K9+K10</f>
        <v>8041931.51542911</v>
      </c>
      <c r="L11" s="25" t="n">
        <f aca="false">L8+L9+L10</f>
        <v>8283189.46089198</v>
      </c>
    </row>
    <row r="12" s="1" customFormat="true" ht="19.5" hidden="false" customHeight="true" outlineLevel="0" collapsed="false">
      <c r="B12" s="1" t="s">
        <v>169</v>
      </c>
      <c r="C12" s="25" t="n">
        <f aca="false">C11*Assumptions!$C$30</f>
        <v>317418.75</v>
      </c>
      <c r="D12" s="25" t="n">
        <f aca="false">D11*Assumptions!$C$30</f>
        <v>326941.3125</v>
      </c>
      <c r="E12" s="25" t="n">
        <f aca="false">E11*Assumptions!$C$30</f>
        <v>336749.551875</v>
      </c>
      <c r="F12" s="25" t="n">
        <f aca="false">F11*Assumptions!$C$30</f>
        <v>346852.03843125</v>
      </c>
      <c r="G12" s="25" t="n">
        <f aca="false">G11*Assumptions!$C$30</f>
        <v>357257.599584188</v>
      </c>
      <c r="H12" s="25" t="n">
        <f aca="false">H11*Assumptions!$C$30</f>
        <v>367975.327571713</v>
      </c>
      <c r="I12" s="25" t="n">
        <f aca="false">I11*Assumptions!$C$30</f>
        <v>379014.587398865</v>
      </c>
      <c r="J12" s="25" t="n">
        <f aca="false">J11*Assumptions!$C$30</f>
        <v>390385.025020831</v>
      </c>
      <c r="K12" s="25" t="n">
        <f aca="false">K11*Assumptions!$C$30</f>
        <v>402096.575771456</v>
      </c>
      <c r="L12" s="25" t="n">
        <f aca="false">L11*Assumptions!$C$30</f>
        <v>414159.473044599</v>
      </c>
    </row>
    <row r="13" s="1" customFormat="true" ht="18" hidden="false" customHeight="true" outlineLevel="0" collapsed="false">
      <c r="B13" s="11" t="s">
        <v>170</v>
      </c>
      <c r="C13" s="26" t="n">
        <f aca="false">C11+C12</f>
        <v>6665793.75</v>
      </c>
      <c r="D13" s="26" t="n">
        <f aca="false">D11+D12</f>
        <v>6865767.5625</v>
      </c>
      <c r="E13" s="26" t="n">
        <f aca="false">E11+E12</f>
        <v>7071740.589375</v>
      </c>
      <c r="F13" s="26" t="n">
        <f aca="false">F11+F12</f>
        <v>7283892.80705625</v>
      </c>
      <c r="G13" s="26" t="n">
        <f aca="false">G11+G12</f>
        <v>7502409.59126794</v>
      </c>
      <c r="H13" s="26" t="n">
        <f aca="false">H11+H12</f>
        <v>7727481.87900598</v>
      </c>
      <c r="I13" s="26" t="n">
        <f aca="false">I11+I12</f>
        <v>7959306.33537616</v>
      </c>
      <c r="J13" s="26" t="n">
        <f aca="false">J11+J12</f>
        <v>8198085.52543744</v>
      </c>
      <c r="K13" s="26" t="n">
        <f aca="false">K11+K12</f>
        <v>8444028.09120057</v>
      </c>
      <c r="L13" s="26" t="n">
        <f aca="false">L11+L12</f>
        <v>8697348.93393658</v>
      </c>
    </row>
    <row r="14" s="1" customFormat="true" ht="15" hidden="false" customHeight="true" outlineLevel="0" collapsed="false">
      <c r="C14" s="24"/>
      <c r="D14" s="24"/>
      <c r="E14" s="24"/>
      <c r="F14" s="24"/>
      <c r="G14" s="24"/>
      <c r="H14" s="24"/>
      <c r="I14" s="24"/>
      <c r="J14" s="24"/>
      <c r="K14" s="24"/>
      <c r="L14" s="24"/>
    </row>
    <row r="15" s="1" customFormat="true" ht="18" hidden="false" customHeight="true" outlineLevel="0" collapsed="false">
      <c r="B15" s="9" t="s">
        <v>171</v>
      </c>
      <c r="C15" s="24"/>
      <c r="D15" s="24"/>
      <c r="E15" s="24"/>
      <c r="F15" s="24"/>
      <c r="G15" s="24"/>
      <c r="H15" s="24"/>
      <c r="I15" s="24"/>
      <c r="J15" s="24"/>
      <c r="K15" s="24"/>
      <c r="L15" s="24"/>
    </row>
    <row r="16" s="1" customFormat="true" ht="19.5" hidden="false" customHeight="true" outlineLevel="0" collapsed="false">
      <c r="B16" s="1" t="s">
        <v>172</v>
      </c>
      <c r="C16" s="25" t="n">
        <f aca="false">C13*Assumptions!$C$33</f>
        <v>799895.25</v>
      </c>
      <c r="D16" s="25" t="n">
        <f aca="false">D13*Assumptions!$C$33</f>
        <v>823892.1075</v>
      </c>
      <c r="E16" s="25" t="n">
        <f aca="false">E13*Assumptions!$C$33</f>
        <v>848608.870725</v>
      </c>
      <c r="F16" s="25" t="n">
        <f aca="false">F13*Assumptions!$C$33</f>
        <v>874067.13684675</v>
      </c>
      <c r="G16" s="25" t="n">
        <f aca="false">G13*Assumptions!$C$33</f>
        <v>900289.150952153</v>
      </c>
      <c r="H16" s="25" t="n">
        <f aca="false">H13*Assumptions!$C$33</f>
        <v>927297.825480716</v>
      </c>
      <c r="I16" s="25" t="n">
        <f aca="false">I13*Assumptions!$C$33</f>
        <v>955116.760245139</v>
      </c>
      <c r="J16" s="25" t="n">
        <f aca="false">J13*Assumptions!$C$33</f>
        <v>983770.263052493</v>
      </c>
      <c r="K16" s="25" t="n">
        <f aca="false">K13*Assumptions!$C$33</f>
        <v>1013283.37094407</v>
      </c>
      <c r="L16" s="25" t="n">
        <f aca="false">L13*Assumptions!$C$33</f>
        <v>1043681.87207239</v>
      </c>
    </row>
    <row r="17" s="1" customFormat="true" ht="19.5" hidden="false" customHeight="true" outlineLevel="0" collapsed="false">
      <c r="B17" s="1" t="s">
        <v>104</v>
      </c>
      <c r="C17" s="25" t="n">
        <f aca="false">Assumptions!C34/1000</f>
        <v>125</v>
      </c>
      <c r="D17" s="25" t="n">
        <f aca="false">C17*(1+Assumptions!$C$42)</f>
        <v>129.375</v>
      </c>
      <c r="E17" s="25" t="n">
        <f aca="false">D17*(1+Assumptions!$C$42)</f>
        <v>133.903125</v>
      </c>
      <c r="F17" s="25" t="n">
        <f aca="false">E17*(1+Assumptions!$C$42)</f>
        <v>138.589734375</v>
      </c>
      <c r="G17" s="25" t="n">
        <f aca="false">F17*(1+Assumptions!$C$42)</f>
        <v>143.440375078125</v>
      </c>
      <c r="H17" s="25" t="n">
        <f aca="false">G17*(1+Assumptions!$C$42)</f>
        <v>148.460788205859</v>
      </c>
      <c r="I17" s="25" t="n">
        <f aca="false">H17*(1+Assumptions!$C$42)</f>
        <v>153.656915793064</v>
      </c>
      <c r="J17" s="25" t="n">
        <f aca="false">I17*(1+Assumptions!$C$42)</f>
        <v>159.034907845821</v>
      </c>
      <c r="K17" s="25" t="n">
        <f aca="false">J17*(1+Assumptions!$C$42)</f>
        <v>164.601129620425</v>
      </c>
      <c r="L17" s="25" t="n">
        <f aca="false">K17*(1+Assumptions!$C$42)</f>
        <v>170.36216915714</v>
      </c>
    </row>
    <row r="18" s="1" customFormat="true" ht="19.5" hidden="false" customHeight="true" outlineLevel="0" collapsed="false">
      <c r="B18" s="1" t="s">
        <v>105</v>
      </c>
      <c r="C18" s="25" t="n">
        <f aca="false">Assumptions!C35/1000</f>
        <v>180</v>
      </c>
      <c r="D18" s="25" t="n">
        <f aca="false">C18*(1+Assumptions!$C$42)</f>
        <v>186.3</v>
      </c>
      <c r="E18" s="25" t="n">
        <f aca="false">D18*(1+Assumptions!$C$42)</f>
        <v>192.8205</v>
      </c>
      <c r="F18" s="25" t="n">
        <f aca="false">E18*(1+Assumptions!$C$42)</f>
        <v>199.5692175</v>
      </c>
      <c r="G18" s="25" t="n">
        <f aca="false">F18*(1+Assumptions!$C$42)</f>
        <v>206.5541401125</v>
      </c>
      <c r="H18" s="25" t="n">
        <f aca="false">G18*(1+Assumptions!$C$42)</f>
        <v>213.783535016437</v>
      </c>
      <c r="I18" s="25" t="n">
        <f aca="false">H18*(1+Assumptions!$C$42)</f>
        <v>221.265958742012</v>
      </c>
      <c r="J18" s="25" t="n">
        <f aca="false">I18*(1+Assumptions!$C$42)</f>
        <v>229.010267297982</v>
      </c>
      <c r="K18" s="25" t="n">
        <f aca="false">J18*(1+Assumptions!$C$42)</f>
        <v>237.025626653411</v>
      </c>
      <c r="L18" s="25" t="n">
        <f aca="false">K18*(1+Assumptions!$C$42)</f>
        <v>245.32152358628</v>
      </c>
    </row>
    <row r="19" s="1" customFormat="true" ht="19.5" hidden="false" customHeight="true" outlineLevel="0" collapsed="false">
      <c r="B19" s="1" t="s">
        <v>106</v>
      </c>
      <c r="C19" s="25" t="n">
        <f aca="false">Assumptions!C36/1000</f>
        <v>225</v>
      </c>
      <c r="D19" s="25" t="n">
        <f aca="false">C19*(1+Assumptions!$C$42)</f>
        <v>232.875</v>
      </c>
      <c r="E19" s="25" t="n">
        <f aca="false">D19*(1+Assumptions!$C$42)</f>
        <v>241.025625</v>
      </c>
      <c r="F19" s="25" t="n">
        <f aca="false">E19*(1+Assumptions!$C$42)</f>
        <v>249.461521875</v>
      </c>
      <c r="G19" s="25" t="n">
        <f aca="false">F19*(1+Assumptions!$C$42)</f>
        <v>258.192675140625</v>
      </c>
      <c r="H19" s="25" t="n">
        <f aca="false">G19*(1+Assumptions!$C$42)</f>
        <v>267.229418770547</v>
      </c>
      <c r="I19" s="25" t="n">
        <f aca="false">H19*(1+Assumptions!$C$42)</f>
        <v>276.582448427516</v>
      </c>
      <c r="J19" s="25" t="n">
        <f aca="false">I19*(1+Assumptions!$C$42)</f>
        <v>286.262834122479</v>
      </c>
      <c r="K19" s="25" t="n">
        <f aca="false">J19*(1+Assumptions!$C$42)</f>
        <v>296.282033316766</v>
      </c>
      <c r="L19" s="25" t="n">
        <f aca="false">K19*(1+Assumptions!$C$42)</f>
        <v>306.651904482853</v>
      </c>
    </row>
    <row r="20" s="1" customFormat="true" ht="19.5" hidden="false" customHeight="true" outlineLevel="0" collapsed="false">
      <c r="B20" s="1" t="s">
        <v>107</v>
      </c>
      <c r="C20" s="25" t="n">
        <f aca="false">Assumptions!C37/1000</f>
        <v>450</v>
      </c>
      <c r="D20" s="25" t="n">
        <f aca="false">C20*(1+Assumptions!$C$42)</f>
        <v>465.75</v>
      </c>
      <c r="E20" s="25" t="n">
        <f aca="false">D20*(1+Assumptions!$C$42)</f>
        <v>482.05125</v>
      </c>
      <c r="F20" s="25" t="n">
        <f aca="false">E20*(1+Assumptions!$C$42)</f>
        <v>498.92304375</v>
      </c>
      <c r="G20" s="25" t="n">
        <f aca="false">F20*(1+Assumptions!$C$42)</f>
        <v>516.38535028125</v>
      </c>
      <c r="H20" s="25" t="n">
        <f aca="false">G20*(1+Assumptions!$C$42)</f>
        <v>534.458837541094</v>
      </c>
      <c r="I20" s="25" t="n">
        <f aca="false">H20*(1+Assumptions!$C$42)</f>
        <v>553.164896855032</v>
      </c>
      <c r="J20" s="25" t="n">
        <f aca="false">I20*(1+Assumptions!$C$42)</f>
        <v>572.525668244958</v>
      </c>
      <c r="K20" s="25" t="n">
        <f aca="false">J20*(1+Assumptions!$C$42)</f>
        <v>592.564066633531</v>
      </c>
      <c r="L20" s="25" t="n">
        <f aca="false">K20*(1+Assumptions!$C$42)</f>
        <v>613.303808965705</v>
      </c>
    </row>
    <row r="21" s="1" customFormat="true" ht="19.5" hidden="false" customHeight="true" outlineLevel="0" collapsed="false">
      <c r="B21" s="1" t="s">
        <v>108</v>
      </c>
      <c r="C21" s="25" t="n">
        <f aca="false">Assumptions!C38/1000</f>
        <v>75</v>
      </c>
      <c r="D21" s="25" t="n">
        <f aca="false">C21*(1+Assumptions!$C$42)</f>
        <v>77.625</v>
      </c>
      <c r="E21" s="25" t="n">
        <f aca="false">D21*(1+Assumptions!$C$42)</f>
        <v>80.341875</v>
      </c>
      <c r="F21" s="25" t="n">
        <f aca="false">E21*(1+Assumptions!$C$42)</f>
        <v>83.153840625</v>
      </c>
      <c r="G21" s="25" t="n">
        <f aca="false">F21*(1+Assumptions!$C$42)</f>
        <v>86.064225046875</v>
      </c>
      <c r="H21" s="25" t="n">
        <f aca="false">G21*(1+Assumptions!$C$42)</f>
        <v>89.0764729235156</v>
      </c>
      <c r="I21" s="25" t="n">
        <f aca="false">H21*(1+Assumptions!$C$42)</f>
        <v>92.1941494758386</v>
      </c>
      <c r="J21" s="25" t="n">
        <f aca="false">I21*(1+Assumptions!$C$42)</f>
        <v>95.4209447074929</v>
      </c>
      <c r="K21" s="25" t="n">
        <f aca="false">J21*(1+Assumptions!$C$42)</f>
        <v>98.7606777722551</v>
      </c>
      <c r="L21" s="25" t="n">
        <f aca="false">K21*(1+Assumptions!$C$42)</f>
        <v>102.217301494284</v>
      </c>
    </row>
    <row r="22" s="1" customFormat="true" ht="19.5" hidden="false" customHeight="true" outlineLevel="0" collapsed="false">
      <c r="B22" s="1" t="s">
        <v>109</v>
      </c>
      <c r="C22" s="25" t="n">
        <f aca="false">Assumptions!C39/1000</f>
        <v>60</v>
      </c>
      <c r="D22" s="25" t="n">
        <f aca="false">C22*(1+Assumptions!$C$42)</f>
        <v>62.1</v>
      </c>
      <c r="E22" s="25" t="n">
        <f aca="false">D22*(1+Assumptions!$C$42)</f>
        <v>64.2735</v>
      </c>
      <c r="F22" s="25" t="n">
        <f aca="false">E22*(1+Assumptions!$C$42)</f>
        <v>66.5230725</v>
      </c>
      <c r="G22" s="25" t="n">
        <f aca="false">F22*(1+Assumptions!$C$42)</f>
        <v>68.8513800375</v>
      </c>
      <c r="H22" s="25" t="n">
        <f aca="false">G22*(1+Assumptions!$C$42)</f>
        <v>71.2611783388125</v>
      </c>
      <c r="I22" s="25" t="n">
        <f aca="false">H22*(1+Assumptions!$C$42)</f>
        <v>73.7553195806709</v>
      </c>
      <c r="J22" s="25" t="n">
        <f aca="false">I22*(1+Assumptions!$C$42)</f>
        <v>76.3367557659944</v>
      </c>
      <c r="K22" s="25" t="n">
        <f aca="false">J22*(1+Assumptions!$C$42)</f>
        <v>79.0085422178042</v>
      </c>
      <c r="L22" s="25" t="n">
        <f aca="false">K22*(1+Assumptions!$C$42)</f>
        <v>81.7738411954274</v>
      </c>
    </row>
    <row r="23" s="1" customFormat="true" ht="19.5" hidden="false" customHeight="true" outlineLevel="0" collapsed="false">
      <c r="B23" s="1" t="s">
        <v>173</v>
      </c>
      <c r="C23" s="25" t="n">
        <f aca="false">C11*Assumptions!$C$40</f>
        <v>253935</v>
      </c>
      <c r="D23" s="25" t="n">
        <f aca="false">D11*Assumptions!$C$40</f>
        <v>261553.05</v>
      </c>
      <c r="E23" s="25" t="n">
        <f aca="false">E11*Assumptions!$C$40</f>
        <v>269399.6415</v>
      </c>
      <c r="F23" s="25" t="n">
        <f aca="false">F11*Assumptions!$C$40</f>
        <v>277481.630745</v>
      </c>
      <c r="G23" s="25" t="n">
        <f aca="false">G11*Assumptions!$C$40</f>
        <v>285806.07966735</v>
      </c>
      <c r="H23" s="25" t="n">
        <f aca="false">H11*Assumptions!$C$40</f>
        <v>294380.26205737</v>
      </c>
      <c r="I23" s="25" t="n">
        <f aca="false">I11*Assumptions!$C$40</f>
        <v>303211.669919092</v>
      </c>
      <c r="J23" s="25" t="n">
        <f aca="false">J11*Assumptions!$C$40</f>
        <v>312308.020016664</v>
      </c>
      <c r="K23" s="25" t="n">
        <f aca="false">K11*Assumptions!$C$40</f>
        <v>321677.260617164</v>
      </c>
      <c r="L23" s="25" t="n">
        <f aca="false">L11*Assumptions!$C$40</f>
        <v>331327.578435679</v>
      </c>
    </row>
    <row r="24" s="1" customFormat="true" ht="19.5" hidden="false" customHeight="true" outlineLevel="0" collapsed="false">
      <c r="B24" s="1" t="s">
        <v>111</v>
      </c>
      <c r="C24" s="25" t="n">
        <f aca="false">Assumptions!C41/1000</f>
        <v>95</v>
      </c>
      <c r="D24" s="25" t="n">
        <f aca="false">C24*(1+Assumptions!$C$42)</f>
        <v>98.325</v>
      </c>
      <c r="E24" s="25" t="n">
        <f aca="false">D24*(1+Assumptions!$C$42)</f>
        <v>101.766375</v>
      </c>
      <c r="F24" s="25" t="n">
        <f aca="false">E24*(1+Assumptions!$C$42)</f>
        <v>105.328198125</v>
      </c>
      <c r="G24" s="25" t="n">
        <f aca="false">F24*(1+Assumptions!$C$42)</f>
        <v>109.014685059375</v>
      </c>
      <c r="H24" s="25" t="n">
        <f aca="false">G24*(1+Assumptions!$C$42)</f>
        <v>112.830199036453</v>
      </c>
      <c r="I24" s="25" t="n">
        <f aca="false">H24*(1+Assumptions!$C$42)</f>
        <v>116.779256002729</v>
      </c>
      <c r="J24" s="25" t="n">
        <f aca="false">I24*(1+Assumptions!$C$42)</f>
        <v>120.866529962825</v>
      </c>
      <c r="K24" s="25" t="n">
        <f aca="false">J24*(1+Assumptions!$C$42)</f>
        <v>125.096858511524</v>
      </c>
      <c r="L24" s="25" t="n">
        <f aca="false">K24*(1+Assumptions!$C$42)</f>
        <v>129.475248559427</v>
      </c>
    </row>
    <row r="25" s="1" customFormat="true" ht="18" hidden="false" customHeight="true" outlineLevel="0" collapsed="false">
      <c r="B25" s="11" t="s">
        <v>174</v>
      </c>
      <c r="C25" s="26" t="n">
        <f aca="false">SUM(C16:C24)</f>
        <v>1055040.25</v>
      </c>
      <c r="D25" s="26" t="n">
        <f aca="false">SUM(D16:D24)</f>
        <v>1086697.5075</v>
      </c>
      <c r="E25" s="26" t="n">
        <f aca="false">SUM(E16:E24)</f>
        <v>1119304.694475</v>
      </c>
      <c r="F25" s="26" t="n">
        <f aca="false">SUM(F16:F24)</f>
        <v>1152890.3162205</v>
      </c>
      <c r="G25" s="26" t="n">
        <f aca="false">SUM(G16:G24)</f>
        <v>1187483.73345026</v>
      </c>
      <c r="H25" s="26" t="n">
        <f aca="false">SUM(H16:H24)</f>
        <v>1223115.18796792</v>
      </c>
      <c r="I25" s="26" t="n">
        <f aca="false">SUM(I16:I24)</f>
        <v>1259815.82910911</v>
      </c>
      <c r="J25" s="26" t="n">
        <f aca="false">SUM(J16:J24)</f>
        <v>1297617.7409771</v>
      </c>
      <c r="K25" s="26" t="n">
        <f aca="false">SUM(K16:K24)</f>
        <v>1336553.97049596</v>
      </c>
      <c r="L25" s="26" t="n">
        <f aca="false">SUM(L16:L24)</f>
        <v>1376658.55630551</v>
      </c>
    </row>
    <row r="26" s="1" customFormat="true" ht="15" hidden="false" customHeight="true" outlineLevel="0" collapsed="false">
      <c r="C26" s="24"/>
      <c r="D26" s="24"/>
      <c r="E26" s="24"/>
      <c r="F26" s="24"/>
      <c r="G26" s="24"/>
      <c r="H26" s="24"/>
      <c r="I26" s="24"/>
      <c r="J26" s="24"/>
      <c r="K26" s="24"/>
      <c r="L26" s="24"/>
    </row>
    <row r="27" s="1" customFormat="true" ht="18" hidden="false" customHeight="true" outlineLevel="0" collapsed="false">
      <c r="B27" s="11" t="s">
        <v>175</v>
      </c>
      <c r="C27" s="26" t="n">
        <f aca="false">C13-C25</f>
        <v>5610753.5</v>
      </c>
      <c r="D27" s="26" t="n">
        <f aca="false">D13-D25</f>
        <v>5779070.055</v>
      </c>
      <c r="E27" s="26" t="n">
        <f aca="false">E13-E25</f>
        <v>5952435.8949</v>
      </c>
      <c r="F27" s="26" t="n">
        <f aca="false">F13-F25</f>
        <v>6131002.49083575</v>
      </c>
      <c r="G27" s="26" t="n">
        <f aca="false">G13-G25</f>
        <v>6314925.85781768</v>
      </c>
      <c r="H27" s="26" t="n">
        <f aca="false">H13-H25</f>
        <v>6504366.69103806</v>
      </c>
      <c r="I27" s="26" t="n">
        <f aca="false">I13-I25</f>
        <v>6699490.50626705</v>
      </c>
      <c r="J27" s="26" t="n">
        <f aca="false">J13-J25</f>
        <v>6900467.78446033</v>
      </c>
      <c r="K27" s="26" t="n">
        <f aca="false">K13-K25</f>
        <v>7107474.12070461</v>
      </c>
      <c r="L27" s="26" t="n">
        <f aca="false">L13-L25</f>
        <v>7320690.37763107</v>
      </c>
    </row>
    <row r="28" s="1" customFormat="true" ht="15" hidden="false" customHeight="true" outlineLevel="0" collapsed="false">
      <c r="C28" s="24"/>
      <c r="D28" s="24"/>
      <c r="E28" s="24"/>
      <c r="F28" s="24"/>
      <c r="G28" s="24"/>
      <c r="H28" s="24"/>
      <c r="I28" s="24"/>
      <c r="J28" s="24"/>
      <c r="K28" s="24"/>
      <c r="L28" s="24"/>
    </row>
    <row r="29" s="1" customFormat="true" ht="18" hidden="false" customHeight="true" outlineLevel="0" collapsed="false">
      <c r="B29" s="9" t="s">
        <v>176</v>
      </c>
      <c r="C29" s="24"/>
      <c r="D29" s="24"/>
      <c r="E29" s="24"/>
      <c r="F29" s="24"/>
      <c r="G29" s="24"/>
      <c r="H29" s="24"/>
      <c r="I29" s="24"/>
      <c r="J29" s="24"/>
      <c r="K29" s="24"/>
      <c r="L29" s="24"/>
    </row>
    <row r="30" s="1" customFormat="true" ht="19.5" hidden="false" customHeight="true" outlineLevel="0" collapsed="false">
      <c r="B30" s="1" t="s">
        <v>177</v>
      </c>
      <c r="C30" s="27" t="n">
        <f aca="false">C27/C13</f>
        <v>0.841723238136494</v>
      </c>
      <c r="D30" s="27" t="n">
        <f aca="false">D27/D13</f>
        <v>0.841722356953152</v>
      </c>
      <c r="E30" s="27" t="n">
        <f aca="false">E27/E13</f>
        <v>0.841721471492222</v>
      </c>
      <c r="F30" s="27" t="n">
        <f aca="false">F27/F13</f>
        <v>0.841720581732938</v>
      </c>
      <c r="G30" s="27" t="n">
        <f aca="false">G27/G13</f>
        <v>0.841719687654434</v>
      </c>
      <c r="H30" s="27" t="n">
        <f aca="false">H27/H13</f>
        <v>0.841718789235743</v>
      </c>
      <c r="I30" s="27" t="n">
        <f aca="false">I27/I13</f>
        <v>0.841717886455796</v>
      </c>
      <c r="J30" s="27" t="n">
        <f aca="false">J27/J13</f>
        <v>0.841716979293423</v>
      </c>
      <c r="K30" s="27" t="n">
        <f aca="false">K27/K13</f>
        <v>0.841716067727348</v>
      </c>
      <c r="L30" s="27" t="n">
        <f aca="false">L27/L13</f>
        <v>0.841715151736196</v>
      </c>
    </row>
    <row r="31" s="1" customFormat="true" ht="19.5" hidden="false" customHeight="true" outlineLevel="0" collapsed="false">
      <c r="B31" s="1" t="s">
        <v>178</v>
      </c>
      <c r="C31" s="27" t="n">
        <f aca="false">C25/C13</f>
        <v>0.158276761863507</v>
      </c>
      <c r="D31" s="27" t="n">
        <f aca="false">D25/D13</f>
        <v>0.158277643046848</v>
      </c>
      <c r="E31" s="27" t="n">
        <f aca="false">E25/E13</f>
        <v>0.158278528507778</v>
      </c>
      <c r="F31" s="27" t="n">
        <f aca="false">F25/F13</f>
        <v>0.158279418267062</v>
      </c>
      <c r="G31" s="27" t="n">
        <f aca="false">G25/G13</f>
        <v>0.158280312345566</v>
      </c>
      <c r="H31" s="27" t="n">
        <f aca="false">H25/H13</f>
        <v>0.158281210764257</v>
      </c>
      <c r="I31" s="27" t="n">
        <f aca="false">I25/I13</f>
        <v>0.158282113544204</v>
      </c>
      <c r="J31" s="27" t="n">
        <f aca="false">J25/J13</f>
        <v>0.158283020706577</v>
      </c>
      <c r="K31" s="27" t="n">
        <f aca="false">K25/K13</f>
        <v>0.158283932272652</v>
      </c>
      <c r="L31" s="27" t="n">
        <f aca="false">L25/L13</f>
        <v>0.158284848263804</v>
      </c>
    </row>
    <row r="32" s="1" customFormat="true" ht="15" hidden="false" customHeight="true" outlineLevel="0" collapsed="false">
      <c r="C32" s="24"/>
      <c r="D32" s="24"/>
      <c r="E32" s="24"/>
      <c r="F32" s="24"/>
      <c r="G32" s="24"/>
      <c r="H32" s="24"/>
      <c r="I32" s="24"/>
      <c r="J32" s="24"/>
      <c r="K32" s="24"/>
      <c r="L32" s="24"/>
    </row>
    <row r="33" s="1" customFormat="true" ht="18" hidden="false" customHeight="true" outlineLevel="0" collapsed="false">
      <c r="B33" s="9" t="s">
        <v>179</v>
      </c>
      <c r="C33" s="24"/>
      <c r="D33" s="24"/>
      <c r="E33" s="24"/>
      <c r="F33" s="24"/>
      <c r="G33" s="24"/>
      <c r="H33" s="24"/>
      <c r="I33" s="24"/>
      <c r="J33" s="24"/>
      <c r="K33" s="24"/>
      <c r="L33" s="24"/>
    </row>
    <row r="34" s="1" customFormat="true" ht="19.5" hidden="false" customHeight="true" outlineLevel="0" collapsed="false">
      <c r="B34" s="1" t="s">
        <v>180</v>
      </c>
      <c r="C34" s="24" t="s">
        <v>181</v>
      </c>
      <c r="D34" s="27" t="n">
        <f aca="false">(D13-C13)/C13</f>
        <v>0.03</v>
      </c>
      <c r="E34" s="27" t="n">
        <f aca="false">(E13-D13)/D13</f>
        <v>0.0299999999999999</v>
      </c>
      <c r="F34" s="27" t="n">
        <f aca="false">(F13-E13)/E13</f>
        <v>0.0300000000000001</v>
      </c>
      <c r="G34" s="27" t="n">
        <f aca="false">(G13-F13)/F13</f>
        <v>0.0300000000000002</v>
      </c>
      <c r="H34" s="27" t="n">
        <f aca="false">(H13-G13)/G13</f>
        <v>0.0299999999999998</v>
      </c>
      <c r="I34" s="27" t="n">
        <f aca="false">(I13-H13)/H13</f>
        <v>0.0300000000000002</v>
      </c>
      <c r="J34" s="27" t="n">
        <f aca="false">(J13-I13)/I13</f>
        <v>0.0299999999999996</v>
      </c>
      <c r="K34" s="27" t="n">
        <f aca="false">(K13-J13)/J13</f>
        <v>0.0300000000000007</v>
      </c>
      <c r="L34" s="27" t="n">
        <f aca="false">(L13-K13)/K13</f>
        <v>0.0299999999999996</v>
      </c>
    </row>
    <row r="35" s="1" customFormat="true" ht="19.5" hidden="false" customHeight="true" outlineLevel="0" collapsed="false">
      <c r="B35" s="1" t="s">
        <v>182</v>
      </c>
      <c r="C35" s="24" t="s">
        <v>181</v>
      </c>
      <c r="D35" s="27" t="n">
        <f aca="false">(D27-C27)/C27</f>
        <v>0.0299989217134561</v>
      </c>
      <c r="E35" s="27" t="n">
        <f aca="false">(E27-D27)/D27</f>
        <v>0.0299989164779211</v>
      </c>
      <c r="F35" s="27" t="n">
        <f aca="false">(F27-E27)/E27</f>
        <v>0.02999891121696</v>
      </c>
      <c r="G35" s="27" t="n">
        <f aca="false">(G27-F27)/F27</f>
        <v>0.0299989059304488</v>
      </c>
      <c r="H35" s="27" t="n">
        <f aca="false">(H27-G27)/G27</f>
        <v>0.0299989006182638</v>
      </c>
      <c r="I35" s="27" t="n">
        <f aca="false">(I27-H27)/H27</f>
        <v>0.0299988952802799</v>
      </c>
      <c r="J35" s="27" t="n">
        <f aca="false">(J27-I27)/I27</f>
        <v>0.029998889916372</v>
      </c>
      <c r="K35" s="27" t="n">
        <f aca="false">(K27-J27)/J27</f>
        <v>0.0299988845264152</v>
      </c>
      <c r="L35" s="27" t="n">
        <f aca="false">(L27-K27)/K27</f>
        <v>0.0299988791102803</v>
      </c>
    </row>
    <row r="36" s="1" customFormat="true" ht="15" hidden="false" customHeight="true" outlineLevel="0" collapsed="false">
      <c r="C36" s="24"/>
      <c r="D36" s="24"/>
      <c r="E36" s="24"/>
      <c r="F36" s="24"/>
      <c r="G36" s="24"/>
      <c r="H36" s="24"/>
      <c r="I36" s="24"/>
      <c r="J36" s="24"/>
      <c r="K36" s="24"/>
      <c r="L36" s="24"/>
    </row>
    <row r="37" s="1" customFormat="true" ht="18" hidden="false" customHeight="true" outlineLevel="0" collapsed="false">
      <c r="B37" s="9" t="s">
        <v>183</v>
      </c>
      <c r="C37" s="24"/>
      <c r="D37" s="24"/>
      <c r="E37" s="24"/>
      <c r="F37" s="24"/>
      <c r="G37" s="24"/>
      <c r="H37" s="24"/>
      <c r="I37" s="24"/>
      <c r="J37" s="24"/>
      <c r="K37" s="24"/>
      <c r="L37" s="24"/>
    </row>
    <row r="38" s="1" customFormat="true" ht="19.5" hidden="false" customHeight="true" outlineLevel="0" collapsed="false">
      <c r="B38" s="1" t="s">
        <v>184</v>
      </c>
      <c r="C38" s="25" t="n">
        <f aca="false">C13*1000/Assumptions!$C$25</f>
        <v>26663175</v>
      </c>
      <c r="D38" s="25" t="n">
        <f aca="false">D13*1000/Assumptions!$C$25</f>
        <v>27463070.25</v>
      </c>
      <c r="E38" s="25" t="n">
        <f aca="false">E13*1000/Assumptions!$C$25</f>
        <v>28286962.3575</v>
      </c>
      <c r="F38" s="25" t="n">
        <f aca="false">F13*1000/Assumptions!$C$25</f>
        <v>29135571.228225</v>
      </c>
      <c r="G38" s="25" t="n">
        <f aca="false">G13*1000/Assumptions!$C$25</f>
        <v>30009638.3650718</v>
      </c>
      <c r="H38" s="25" t="n">
        <f aca="false">H13*1000/Assumptions!$C$25</f>
        <v>30909927.5160239</v>
      </c>
      <c r="I38" s="25" t="n">
        <f aca="false">I13*1000/Assumptions!$C$25</f>
        <v>31837225.3415046</v>
      </c>
      <c r="J38" s="25" t="n">
        <f aca="false">J13*1000/Assumptions!$C$25</f>
        <v>32792342.1017498</v>
      </c>
      <c r="K38" s="25" t="n">
        <f aca="false">K13*1000/Assumptions!$C$25</f>
        <v>33776112.3648023</v>
      </c>
      <c r="L38" s="25" t="n">
        <f aca="false">L13*1000/Assumptions!$C$25</f>
        <v>34789395.7357463</v>
      </c>
    </row>
    <row r="39" s="1" customFormat="true" ht="19.5" hidden="false" customHeight="true" outlineLevel="0" collapsed="false">
      <c r="B39" s="1" t="s">
        <v>185</v>
      </c>
      <c r="C39" s="25" t="n">
        <f aca="false">C25*1000/Assumptions!$C$25</f>
        <v>4220161</v>
      </c>
      <c r="D39" s="25" t="n">
        <f aca="false">D25*1000/Assumptions!$C$25</f>
        <v>4346790.03</v>
      </c>
      <c r="E39" s="25" t="n">
        <f aca="false">E25*1000/Assumptions!$C$25</f>
        <v>4477218.7779</v>
      </c>
      <c r="F39" s="25" t="n">
        <f aca="false">F25*1000/Assumptions!$C$25</f>
        <v>4611561.264882</v>
      </c>
      <c r="G39" s="25" t="n">
        <f aca="false">G25*1000/Assumptions!$C$25</f>
        <v>4749934.93380104</v>
      </c>
      <c r="H39" s="25" t="n">
        <f aca="false">H25*1000/Assumptions!$C$25</f>
        <v>4892460.75187168</v>
      </c>
      <c r="I39" s="25" t="n">
        <f aca="false">I25*1000/Assumptions!$C$25</f>
        <v>5039263.31643644</v>
      </c>
      <c r="J39" s="25" t="n">
        <f aca="false">J25*1000/Assumptions!$C$25</f>
        <v>5190470.9639084</v>
      </c>
      <c r="K39" s="25" t="n">
        <f aca="false">K25*1000/Assumptions!$C$25</f>
        <v>5346215.88198384</v>
      </c>
      <c r="L39" s="25" t="n">
        <f aca="false">L25*1000/Assumptions!$C$25</f>
        <v>5506634.22522204</v>
      </c>
    </row>
    <row r="40" s="1" customFormat="true" ht="19.5" hidden="false" customHeight="true" outlineLevel="0" collapsed="false">
      <c r="B40" s="1" t="s">
        <v>186</v>
      </c>
      <c r="C40" s="25" t="n">
        <f aca="false">C27*1000/Assumptions!$C$25</f>
        <v>22443014</v>
      </c>
      <c r="D40" s="25" t="n">
        <f aca="false">D27*1000/Assumptions!$C$25</f>
        <v>23116280.22</v>
      </c>
      <c r="E40" s="25" t="n">
        <f aca="false">E27*1000/Assumptions!$C$25</f>
        <v>23809743.5796</v>
      </c>
      <c r="F40" s="25" t="n">
        <f aca="false">F27*1000/Assumptions!$C$25</f>
        <v>24524009.963343</v>
      </c>
      <c r="G40" s="25" t="n">
        <f aca="false">G27*1000/Assumptions!$C$25</f>
        <v>25259703.4312707</v>
      </c>
      <c r="H40" s="25" t="n">
        <f aca="false">H27*1000/Assumptions!$C$25</f>
        <v>26017466.7641522</v>
      </c>
      <c r="I40" s="25" t="n">
        <f aca="false">I27*1000/Assumptions!$C$25</f>
        <v>26797962.0250682</v>
      </c>
      <c r="J40" s="25" t="n">
        <f aca="false">J27*1000/Assumptions!$C$25</f>
        <v>27601871.1378414</v>
      </c>
      <c r="K40" s="25" t="n">
        <f aca="false">K27*1000/Assumptions!$C$25</f>
        <v>28429896.4828184</v>
      </c>
      <c r="L40" s="25" t="n">
        <f aca="false">L27*1000/Assumptions!$C$25</f>
        <v>29282761.5105243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2:M41"/>
  <sheetViews>
    <sheetView showFormulas="false" showGridLines="false" showRowColHeaders="true" showZeros="true" rightToLeft="false" tabSelected="false" showOutlineSymbols="true" defaultGridColor="true" view="normal" topLeftCell="A25" colorId="64" zoomScale="100" zoomScaleNormal="100" zoomScalePageLayoutView="100" workbookViewId="0">
      <selection pane="topLeft" activeCell="C7" activeCellId="0" sqref="C7"/>
    </sheetView>
  </sheetViews>
  <sheetFormatPr defaultColWidth="7.75390625" defaultRowHeight="15" zeroHeight="false" outlineLevelRow="0" outlineLevelCol="0"/>
  <cols>
    <col collapsed="false" customWidth="true" hidden="false" outlineLevel="0" max="1" min="1" style="0" width="18.75"/>
    <col collapsed="false" customWidth="true" hidden="false" outlineLevel="0" max="13" min="2" style="1" width="18.75"/>
  </cols>
  <sheetData>
    <row r="2" s="1" customFormat="true" ht="24.75" hidden="false" customHeight="true" outlineLevel="0" collapsed="false">
      <c r="B2" s="8" t="s">
        <v>187</v>
      </c>
    </row>
    <row r="3" s="1" customFormat="true" ht="15" hidden="false" customHeight="true" outlineLevel="0" collapsed="false">
      <c r="B3" s="1" t="n">
        <v>0</v>
      </c>
    </row>
    <row r="5" s="1" customFormat="true" ht="18" hidden="false" customHeight="true" outlineLevel="0" collapsed="false">
      <c r="B5" s="9" t="s">
        <v>188</v>
      </c>
    </row>
    <row r="6" s="1" customFormat="true" ht="18" hidden="false" customHeight="true" outlineLevel="0" collapsed="false">
      <c r="B6" s="9" t="s">
        <v>189</v>
      </c>
    </row>
    <row r="7" s="1" customFormat="true" ht="19.5" hidden="false" customHeight="true" outlineLevel="0" collapsed="false">
      <c r="B7" s="1" t="s">
        <v>80</v>
      </c>
      <c r="C7" s="6" t="n">
        <f aca="false">Assumptions!C5</f>
        <v>56250000</v>
      </c>
    </row>
    <row r="8" s="1" customFormat="true" ht="19.5" hidden="false" customHeight="true" outlineLevel="0" collapsed="false">
      <c r="B8" s="1" t="s">
        <v>190</v>
      </c>
      <c r="C8" s="6" t="n">
        <f aca="false">Assumptions!C7</f>
        <v>1406250</v>
      </c>
    </row>
    <row r="9" s="1" customFormat="true" ht="19.5" hidden="false" customHeight="true" outlineLevel="0" collapsed="false">
      <c r="B9" s="1" t="s">
        <v>91</v>
      </c>
      <c r="C9" s="6" t="n">
        <f aca="false">Assumptions!C18</f>
        <v>365625</v>
      </c>
    </row>
    <row r="10" s="1" customFormat="true" ht="18" hidden="false" customHeight="true" outlineLevel="0" collapsed="false">
      <c r="B10" s="11" t="s">
        <v>191</v>
      </c>
      <c r="C10" s="13" t="n">
        <f aca="false">SUM(C7:C9)</f>
        <v>58021875</v>
      </c>
    </row>
    <row r="12" s="1" customFormat="true" ht="18" hidden="false" customHeight="true" outlineLevel="0" collapsed="false">
      <c r="B12" s="9" t="s">
        <v>192</v>
      </c>
    </row>
    <row r="13" s="1" customFormat="true" ht="19.5" hidden="false" customHeight="true" outlineLevel="0" collapsed="false">
      <c r="B13" s="1" t="s">
        <v>193</v>
      </c>
      <c r="C13" s="6" t="n">
        <f aca="false">Assumptions!C11</f>
        <v>36562500</v>
      </c>
    </row>
    <row r="14" s="1" customFormat="true" ht="19.5" hidden="false" customHeight="true" outlineLevel="0" collapsed="false">
      <c r="B14" s="1" t="s">
        <v>194</v>
      </c>
      <c r="C14" s="6" t="n">
        <f aca="false">C10-C13</f>
        <v>21459375</v>
      </c>
    </row>
    <row r="15" s="1" customFormat="true" ht="18" hidden="false" customHeight="true" outlineLevel="0" collapsed="false">
      <c r="B15" s="11" t="s">
        <v>195</v>
      </c>
      <c r="C15" s="13" t="n">
        <f aca="false">SUM(C13:C14)</f>
        <v>58021875</v>
      </c>
    </row>
    <row r="17" s="1" customFormat="true" ht="18" hidden="false" customHeight="true" outlineLevel="0" collapsed="false">
      <c r="B17" s="9" t="s">
        <v>196</v>
      </c>
    </row>
    <row r="18" s="1" customFormat="true" ht="18" hidden="false" customHeight="true" outlineLevel="0" collapsed="false">
      <c r="B18" s="10" t="s">
        <v>163</v>
      </c>
      <c r="C18" s="10" t="s">
        <v>197</v>
      </c>
      <c r="D18" s="10" t="s">
        <v>151</v>
      </c>
      <c r="E18" s="10" t="s">
        <v>152</v>
      </c>
      <c r="F18" s="10" t="s">
        <v>153</v>
      </c>
      <c r="G18" s="10" t="s">
        <v>154</v>
      </c>
      <c r="H18" s="10" t="s">
        <v>155</v>
      </c>
      <c r="I18" s="10" t="s">
        <v>156</v>
      </c>
      <c r="J18" s="10" t="s">
        <v>157</v>
      </c>
      <c r="K18" s="10" t="s">
        <v>158</v>
      </c>
      <c r="L18" s="10" t="s">
        <v>159</v>
      </c>
      <c r="M18" s="10" t="s">
        <v>160</v>
      </c>
    </row>
    <row r="20" s="1" customFormat="true" ht="19.5" hidden="false" customHeight="true" outlineLevel="0" collapsed="false">
      <c r="B20" s="1" t="s">
        <v>198</v>
      </c>
      <c r="C20" s="1" t="s">
        <v>181</v>
      </c>
      <c r="D20" s="6" t="n">
        <f aca="false">Operating_Statement!C27</f>
        <v>5610753.5</v>
      </c>
      <c r="E20" s="6" t="n">
        <f aca="false">Operating_Statement!D27</f>
        <v>5779070.055</v>
      </c>
      <c r="F20" s="6" t="n">
        <f aca="false">Operating_Statement!E27</f>
        <v>5952435.8949</v>
      </c>
      <c r="G20" s="6" t="n">
        <f aca="false">Operating_Statement!F27</f>
        <v>6131002.49083575</v>
      </c>
      <c r="H20" s="6" t="n">
        <f aca="false">Operating_Statement!G27</f>
        <v>6314925.85781768</v>
      </c>
      <c r="I20" s="6" t="n">
        <f aca="false">Operating_Statement!H27</f>
        <v>6504366.69103805</v>
      </c>
      <c r="J20" s="6" t="n">
        <f aca="false">Operating_Statement!I27</f>
        <v>6699490.50626705</v>
      </c>
      <c r="K20" s="6" t="n">
        <f aca="false">Operating_Statement!J27</f>
        <v>6900467.78446034</v>
      </c>
      <c r="L20" s="6" t="n">
        <f aca="false">Operating_Statement!K27</f>
        <v>7107474.12070461</v>
      </c>
      <c r="M20" s="6" t="n">
        <f aca="false">Operating_Statement!L27</f>
        <v>7320690.37763107</v>
      </c>
    </row>
    <row r="22" s="1" customFormat="true" ht="18" hidden="false" customHeight="true" outlineLevel="0" collapsed="false">
      <c r="B22" s="9" t="s">
        <v>199</v>
      </c>
    </row>
    <row r="23" s="1" customFormat="true" ht="19.5" hidden="false" customHeight="true" outlineLevel="0" collapsed="false">
      <c r="B23" s="1" t="s">
        <v>200</v>
      </c>
      <c r="C23" s="1" t="s">
        <v>181</v>
      </c>
      <c r="D23" s="6" t="n">
        <f aca="false">PMT(Assumptions!$C$13/12,Assumptions!$C$14*12,-Assumptions!$C$11)*12</f>
        <v>2773198.45307539</v>
      </c>
      <c r="E23" s="6" t="n">
        <f aca="false">PMT(Assumptions!$C$13/12,Assumptions!$C$14*12,-Assumptions!$C$11)*12</f>
        <v>2773198.45307539</v>
      </c>
      <c r="F23" s="6" t="n">
        <f aca="false">PMT(Assumptions!$C$13/12,Assumptions!$C$14*12,-Assumptions!$C$11)*12</f>
        <v>2773198.45307539</v>
      </c>
      <c r="G23" s="6" t="n">
        <f aca="false">PMT(Assumptions!$C$13/12,Assumptions!$C$14*12,-Assumptions!$C$11)*12</f>
        <v>2773198.45307539</v>
      </c>
      <c r="H23" s="6" t="n">
        <f aca="false">PMT(Assumptions!$C$13/12,Assumptions!$C$14*12,-Assumptions!$C$11)*12</f>
        <v>2773198.45307539</v>
      </c>
      <c r="I23" s="6" t="n">
        <f aca="false">PMT(Assumptions!$C$13/12,Assumptions!$C$14*12,-Assumptions!$C$11)*12</f>
        <v>2773198.45307539</v>
      </c>
      <c r="J23" s="6" t="n">
        <f aca="false">PMT(Assumptions!$C$13/12,Assumptions!$C$14*12,-Assumptions!$C$11)*12</f>
        <v>2773198.45307539</v>
      </c>
      <c r="K23" s="6" t="n">
        <f aca="false">PMT(Assumptions!$C$13/12,Assumptions!$C$14*12,-Assumptions!$C$11)*12</f>
        <v>2773198.45307539</v>
      </c>
      <c r="L23" s="6" t="n">
        <f aca="false">PMT(Assumptions!$C$13/12,Assumptions!$C$14*12,-Assumptions!$C$11)*12</f>
        <v>2773198.45307539</v>
      </c>
      <c r="M23" s="6" t="n">
        <f aca="false">PMT(Assumptions!$C$13/12,Assumptions!$C$14*12,-Assumptions!$C$11)*12</f>
        <v>2773198.45307539</v>
      </c>
    </row>
    <row r="25" s="1" customFormat="true" ht="18" hidden="false" customHeight="true" outlineLevel="0" collapsed="false">
      <c r="B25" s="9" t="s">
        <v>113</v>
      </c>
    </row>
    <row r="26" s="1" customFormat="true" ht="19.5" hidden="false" customHeight="true" outlineLevel="0" collapsed="false">
      <c r="B26" s="1" t="s">
        <v>201</v>
      </c>
      <c r="C26" s="1" t="s">
        <v>181</v>
      </c>
      <c r="D26" s="6" t="n">
        <f aca="false">-Assumptions!C45*Assumptions!C25</f>
        <v>-375000</v>
      </c>
      <c r="E26" s="6" t="n">
        <f aca="false">D26*(1+Assumptions!$C$46)</f>
        <v>-382500</v>
      </c>
      <c r="F26" s="6" t="n">
        <f aca="false">E26*(1+Assumptions!$C$46)</f>
        <v>-390150</v>
      </c>
      <c r="G26" s="6" t="n">
        <f aca="false">F26*(1+Assumptions!$C$46)</f>
        <v>-397953</v>
      </c>
      <c r="H26" s="6" t="n">
        <f aca="false">G26*(1+Assumptions!$C$46)</f>
        <v>-405912.06</v>
      </c>
      <c r="I26" s="6" t="n">
        <f aca="false">H26*(1+Assumptions!$C$46)</f>
        <v>-414030.3012</v>
      </c>
      <c r="J26" s="6" t="n">
        <f aca="false">I26*(1+Assumptions!$C$46)</f>
        <v>-422310.907224</v>
      </c>
      <c r="K26" s="6" t="n">
        <f aca="false">J26*(1+Assumptions!$C$46)</f>
        <v>-430757.12536848</v>
      </c>
      <c r="L26" s="6" t="n">
        <f aca="false">K26*(1+Assumptions!$C$46)</f>
        <v>-439372.26787585</v>
      </c>
      <c r="M26" s="6" t="n">
        <f aca="false">L26*(1+Assumptions!$C$46)</f>
        <v>-448159.713233367</v>
      </c>
    </row>
    <row r="27" s="1" customFormat="true" ht="19.5" hidden="false" customHeight="true" outlineLevel="0" collapsed="false">
      <c r="B27" s="1" t="s">
        <v>202</v>
      </c>
      <c r="C27" s="1" t="s">
        <v>181</v>
      </c>
      <c r="D27" s="6" t="n">
        <f aca="false">-Assumptions!C47*Assumptions!C25*Assumptions!C48</f>
        <v>-262500</v>
      </c>
      <c r="E27" s="6" t="n">
        <f aca="false">-Assumptions!C47*Assumptions!C25*Assumptions!C48</f>
        <v>-262500</v>
      </c>
      <c r="F27" s="6" t="n">
        <f aca="false">-Assumptions!C47*Assumptions!C25*Assumptions!C48</f>
        <v>-262500</v>
      </c>
      <c r="G27" s="6" t="n">
        <f aca="false">-Assumptions!C47*Assumptions!C25*Assumptions!C48</f>
        <v>-262500</v>
      </c>
      <c r="H27" s="6" t="n">
        <f aca="false">-Assumptions!C47*Assumptions!C25*Assumptions!C48</f>
        <v>-262500</v>
      </c>
      <c r="I27" s="6" t="n">
        <f aca="false">-Assumptions!C47*Assumptions!C25*Assumptions!C48</f>
        <v>-262500</v>
      </c>
      <c r="J27" s="6" t="n">
        <f aca="false">-Assumptions!C47*Assumptions!C25*Assumptions!C48</f>
        <v>-262500</v>
      </c>
      <c r="K27" s="6" t="n">
        <f aca="false">-Assumptions!C47*Assumptions!C25*Assumptions!C48</f>
        <v>-262500</v>
      </c>
      <c r="L27" s="6" t="n">
        <f aca="false">-Assumptions!C47*Assumptions!C25*Assumptions!C48</f>
        <v>-262500</v>
      </c>
      <c r="M27" s="6" t="n">
        <f aca="false">-Assumptions!C47*Assumptions!C25*Assumptions!C48</f>
        <v>-262500</v>
      </c>
    </row>
    <row r="28" s="1" customFormat="true" ht="19.5" hidden="false" customHeight="true" outlineLevel="0" collapsed="false">
      <c r="B28" s="1" t="s">
        <v>203</v>
      </c>
      <c r="C28" s="1" t="s">
        <v>181</v>
      </c>
      <c r="D28" s="6" t="n">
        <f aca="false">D26+D27</f>
        <v>-637500</v>
      </c>
      <c r="E28" s="6" t="n">
        <f aca="false">E26+E27</f>
        <v>-645000</v>
      </c>
      <c r="F28" s="6" t="n">
        <f aca="false">F26+F27</f>
        <v>-652650</v>
      </c>
      <c r="G28" s="6" t="n">
        <f aca="false">G26+G27</f>
        <v>-660453</v>
      </c>
      <c r="H28" s="6" t="n">
        <f aca="false">H26+H27</f>
        <v>-668412.06</v>
      </c>
      <c r="I28" s="6" t="n">
        <f aca="false">I26+I27</f>
        <v>-676530.3012</v>
      </c>
      <c r="J28" s="6" t="n">
        <f aca="false">J26+J27</f>
        <v>-684810.907224</v>
      </c>
      <c r="K28" s="6" t="n">
        <f aca="false">K26+K27</f>
        <v>-693257.12536848</v>
      </c>
      <c r="L28" s="6" t="n">
        <f aca="false">L26+L27</f>
        <v>-701872.26787585</v>
      </c>
      <c r="M28" s="6" t="n">
        <f aca="false">M26+M27</f>
        <v>-710659.713233367</v>
      </c>
    </row>
    <row r="30" s="1" customFormat="true" ht="18" hidden="false" customHeight="true" outlineLevel="0" collapsed="false">
      <c r="B30" s="11" t="s">
        <v>204</v>
      </c>
      <c r="C30" s="13" t="n">
        <f aca="false">-C14</f>
        <v>-21459375</v>
      </c>
      <c r="D30" s="13" t="n">
        <f aca="false">D20-D23+D28</f>
        <v>2200055.04692461</v>
      </c>
      <c r="E30" s="13" t="n">
        <f aca="false">E20-E23+E28</f>
        <v>2360871.60192461</v>
      </c>
      <c r="F30" s="13" t="n">
        <f aca="false">F20-F23+F28</f>
        <v>2526587.44182461</v>
      </c>
      <c r="G30" s="13" t="n">
        <f aca="false">G20-G23+G28</f>
        <v>2697351.03776036</v>
      </c>
      <c r="H30" s="13" t="n">
        <f aca="false">H20-H23+H28</f>
        <v>2873315.34474229</v>
      </c>
      <c r="I30" s="13" t="n">
        <f aca="false">I20-I23+I28</f>
        <v>3054637.93676266</v>
      </c>
      <c r="J30" s="13" t="n">
        <f aca="false">J20-J23+J28</f>
        <v>3241481.14596766</v>
      </c>
      <c r="K30" s="13" t="n">
        <f aca="false">K20-K23+K28</f>
        <v>3434012.20601647</v>
      </c>
      <c r="L30" s="13" t="n">
        <f aca="false">L20-L23+L28</f>
        <v>3632403.39975337</v>
      </c>
      <c r="M30" s="13" t="n">
        <f aca="false">M20-M23+M28</f>
        <v>3836832.21132231</v>
      </c>
    </row>
    <row r="32" s="1" customFormat="true" ht="18" hidden="false" customHeight="true" outlineLevel="0" collapsed="false">
      <c r="B32" s="9" t="s">
        <v>205</v>
      </c>
    </row>
    <row r="33" s="1" customFormat="true" ht="19.5" hidden="false" customHeight="true" outlineLevel="0" collapsed="false">
      <c r="B33" s="1" t="s">
        <v>206</v>
      </c>
      <c r="C33" s="1" t="s">
        <v>181</v>
      </c>
      <c r="D33" s="1" t="s">
        <v>181</v>
      </c>
      <c r="E33" s="1" t="s">
        <v>181</v>
      </c>
      <c r="F33" s="1" t="s">
        <v>181</v>
      </c>
      <c r="G33" s="1" t="s">
        <v>181</v>
      </c>
      <c r="H33" s="6" t="n">
        <f aca="false">Operating_Statement!G27</f>
        <v>6314925.85781768</v>
      </c>
      <c r="I33" s="1" t="s">
        <v>181</v>
      </c>
      <c r="J33" s="1" t="s">
        <v>181</v>
      </c>
      <c r="K33" s="1" t="s">
        <v>181</v>
      </c>
      <c r="L33" s="1" t="s">
        <v>181</v>
      </c>
      <c r="M33" s="1" t="s">
        <v>181</v>
      </c>
    </row>
    <row r="34" s="1" customFormat="true" ht="19.5" hidden="false" customHeight="true" outlineLevel="0" collapsed="false">
      <c r="B34" s="1" t="s">
        <v>120</v>
      </c>
      <c r="C34" s="1" t="s">
        <v>181</v>
      </c>
      <c r="D34" s="1" t="s">
        <v>181</v>
      </c>
      <c r="E34" s="1" t="s">
        <v>181</v>
      </c>
      <c r="F34" s="1" t="s">
        <v>181</v>
      </c>
      <c r="G34" s="1" t="s">
        <v>181</v>
      </c>
      <c r="H34" s="7" t="n">
        <f aca="false" t="array" ref="H34:H34">Assumptions!$C$52</f>
        <v>0.09</v>
      </c>
      <c r="I34" s="1" t="s">
        <v>181</v>
      </c>
      <c r="J34" s="1" t="s">
        <v>181</v>
      </c>
      <c r="K34" s="1" t="s">
        <v>181</v>
      </c>
      <c r="L34" s="1" t="s">
        <v>181</v>
      </c>
      <c r="M34" s="1" t="s">
        <v>181</v>
      </c>
    </row>
    <row r="35" s="1" customFormat="true" ht="19.5" hidden="false" customHeight="true" outlineLevel="0" collapsed="false">
      <c r="B35" s="1" t="s">
        <v>207</v>
      </c>
      <c r="C35" s="1" t="s">
        <v>181</v>
      </c>
      <c r="D35" s="1" t="s">
        <v>181</v>
      </c>
      <c r="E35" s="1" t="s">
        <v>181</v>
      </c>
      <c r="F35" s="1" t="s">
        <v>181</v>
      </c>
      <c r="G35" s="1" t="s">
        <v>181</v>
      </c>
      <c r="H35" s="6" t="n">
        <f aca="false">H33/H34</f>
        <v>70165842.8646409</v>
      </c>
      <c r="I35" s="1" t="s">
        <v>181</v>
      </c>
      <c r="J35" s="1" t="s">
        <v>181</v>
      </c>
      <c r="K35" s="1" t="s">
        <v>181</v>
      </c>
      <c r="L35" s="1" t="s">
        <v>181</v>
      </c>
      <c r="M35" s="1" t="s">
        <v>181</v>
      </c>
    </row>
    <row r="36" s="1" customFormat="true" ht="19.5" hidden="false" customHeight="true" outlineLevel="0" collapsed="false">
      <c r="B36" s="1" t="s">
        <v>121</v>
      </c>
      <c r="C36" s="1" t="s">
        <v>181</v>
      </c>
      <c r="D36" s="1" t="s">
        <v>181</v>
      </c>
      <c r="E36" s="1" t="s">
        <v>181</v>
      </c>
      <c r="F36" s="1" t="s">
        <v>181</v>
      </c>
      <c r="G36" s="1" t="s">
        <v>181</v>
      </c>
      <c r="H36" s="6" t="n">
        <f aca="false">-H35*Assumptions!$C$53</f>
        <v>-1403316.85729282</v>
      </c>
      <c r="I36" s="1" t="s">
        <v>181</v>
      </c>
      <c r="J36" s="1" t="s">
        <v>181</v>
      </c>
      <c r="K36" s="1" t="s">
        <v>181</v>
      </c>
      <c r="L36" s="1" t="s">
        <v>181</v>
      </c>
      <c r="M36" s="1" t="s">
        <v>181</v>
      </c>
    </row>
    <row r="37" s="1" customFormat="true" ht="19.5" hidden="false" customHeight="true" outlineLevel="0" collapsed="false">
      <c r="B37" s="1" t="s">
        <v>208</v>
      </c>
      <c r="C37" s="1" t="s">
        <v>181</v>
      </c>
      <c r="D37" s="1" t="s">
        <v>181</v>
      </c>
      <c r="E37" s="1" t="s">
        <v>181</v>
      </c>
      <c r="F37" s="1" t="s">
        <v>181</v>
      </c>
      <c r="G37" s="1" t="s">
        <v>181</v>
      </c>
      <c r="H37" s="6" t="n">
        <f aca="false">-Assumptions!C11</f>
        <v>-36562500</v>
      </c>
      <c r="I37" s="1" t="s">
        <v>181</v>
      </c>
      <c r="J37" s="1" t="s">
        <v>181</v>
      </c>
      <c r="K37" s="1" t="s">
        <v>181</v>
      </c>
      <c r="L37" s="1" t="s">
        <v>181</v>
      </c>
      <c r="M37" s="1" t="s">
        <v>181</v>
      </c>
    </row>
    <row r="38" s="1" customFormat="true" ht="19.5" hidden="false" customHeight="true" outlineLevel="0" collapsed="false">
      <c r="B38" s="1" t="s">
        <v>209</v>
      </c>
      <c r="C38" s="1" t="s">
        <v>181</v>
      </c>
      <c r="D38" s="1" t="s">
        <v>181</v>
      </c>
      <c r="E38" s="1" t="s">
        <v>181</v>
      </c>
      <c r="F38" s="1" t="s">
        <v>181</v>
      </c>
      <c r="G38" s="1" t="s">
        <v>181</v>
      </c>
      <c r="H38" s="6" t="n">
        <f aca="false">H35+H36+H37</f>
        <v>32200026.0073481</v>
      </c>
      <c r="I38" s="1" t="s">
        <v>181</v>
      </c>
      <c r="J38" s="1" t="s">
        <v>181</v>
      </c>
      <c r="K38" s="1" t="s">
        <v>181</v>
      </c>
      <c r="L38" s="1" t="s">
        <v>181</v>
      </c>
      <c r="M38" s="1" t="s">
        <v>181</v>
      </c>
    </row>
    <row r="40" s="1" customFormat="true" ht="18" hidden="false" customHeight="true" outlineLevel="0" collapsed="false">
      <c r="B40" s="11" t="s">
        <v>210</v>
      </c>
      <c r="C40" s="13" t="n">
        <f aca="false" t="array" ref="C40:C40">C30</f>
        <v>-21459375</v>
      </c>
      <c r="D40" s="13" t="n">
        <f aca="false" t="array" ref="D40:D40">D30</f>
        <v>2200055.04692461</v>
      </c>
      <c r="E40" s="13" t="n">
        <f aca="false" t="array" ref="E40:E40">E30</f>
        <v>2360871.60192461</v>
      </c>
      <c r="F40" s="13" t="n">
        <f aca="false" t="array" ref="F40:F40">F30</f>
        <v>2526587.44182461</v>
      </c>
      <c r="G40" s="13" t="n">
        <f aca="false" t="array" ref="G40:G40">G30</f>
        <v>2697351.03776036</v>
      </c>
      <c r="H40" s="13" t="n">
        <f aca="false">H30+H38</f>
        <v>35073341.3520904</v>
      </c>
      <c r="I40" s="13" t="n">
        <f aca="false" t="array" ref="I40:I40">I30</f>
        <v>3054637.93676266</v>
      </c>
      <c r="J40" s="13" t="n">
        <f aca="false" t="array" ref="J40:J40">J30</f>
        <v>3241481.14596766</v>
      </c>
      <c r="K40" s="13" t="n">
        <f aca="false" t="array" ref="K40:K40">K30</f>
        <v>3434012.20601647</v>
      </c>
      <c r="L40" s="13" t="n">
        <f aca="false" t="array" ref="L40:L40">L30</f>
        <v>3632403.39975337</v>
      </c>
      <c r="M40" s="13" t="n">
        <f aca="false" t="array" ref="M40:M40">M30</f>
        <v>3836832.21132231</v>
      </c>
    </row>
    <row r="41" s="1" customFormat="true" ht="19.5" hidden="false" customHeight="true" outlineLevel="0" collapsed="false">
      <c r="B41" s="1" t="s">
        <v>211</v>
      </c>
      <c r="C41" s="6" t="n">
        <f aca="false" t="array" ref="C41:C41">C40</f>
        <v>-21459375</v>
      </c>
      <c r="D41" s="6" t="n">
        <f aca="false">C41+D40</f>
        <v>-19259319.9530754</v>
      </c>
      <c r="E41" s="6" t="n">
        <f aca="false">D41+E40</f>
        <v>-16898448.3511508</v>
      </c>
      <c r="F41" s="6" t="n">
        <f aca="false">E41+F40</f>
        <v>-14371860.9093262</v>
      </c>
      <c r="G41" s="6" t="n">
        <f aca="false">F41+G40</f>
        <v>-11674509.8715658</v>
      </c>
      <c r="H41" s="6" t="n">
        <f aca="false">G41+H40</f>
        <v>23398831.4805246</v>
      </c>
      <c r="I41" s="6" t="n">
        <f aca="false">H41+I40</f>
        <v>26453469.4172872</v>
      </c>
      <c r="J41" s="6" t="n">
        <f aca="false">I41+J40</f>
        <v>29694950.5632549</v>
      </c>
      <c r="K41" s="6" t="n">
        <f aca="false">J41+K40</f>
        <v>33128962.7692713</v>
      </c>
      <c r="L41" s="6" t="n">
        <f aca="false">K41+L40</f>
        <v>36761366.1690247</v>
      </c>
      <c r="M41" s="6" t="n">
        <f aca="false">L41+M40</f>
        <v>40598198.380347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2:G30"/>
  <sheetViews>
    <sheetView showFormulas="false" showGridLines="false" showRowColHeaders="true" showZeros="true" rightToLeft="false" tabSelected="false" showOutlineSymbols="true" defaultGridColor="true" view="normal" topLeftCell="A3" colorId="64" zoomScale="100" zoomScaleNormal="100" zoomScalePageLayoutView="100" workbookViewId="0">
      <selection pane="topLeft" activeCell="E21" activeCellId="0" sqref="E21"/>
    </sheetView>
  </sheetViews>
  <sheetFormatPr defaultColWidth="7.75390625" defaultRowHeight="15" zeroHeight="false" outlineLevelRow="0" outlineLevelCol="0"/>
  <cols>
    <col collapsed="false" customWidth="true" hidden="false" outlineLevel="0" max="2" min="2" style="1" width="25.01"/>
    <col collapsed="false" customWidth="true" hidden="false" outlineLevel="0" max="3" min="3" style="1" width="16.25"/>
    <col collapsed="false" customWidth="true" hidden="false" outlineLevel="0" max="4" min="4" style="1" width="12.51"/>
    <col collapsed="false" customWidth="true" hidden="false" outlineLevel="0" max="5" min="5" style="1" width="13.75"/>
    <col collapsed="false" customWidth="true" hidden="false" outlineLevel="0" max="7" min="6" style="1" width="16.25"/>
  </cols>
  <sheetData>
    <row r="2" s="1" customFormat="true" ht="24.75" hidden="false" customHeight="true" outlineLevel="0" collapsed="false">
      <c r="B2" s="8" t="s">
        <v>212</v>
      </c>
    </row>
    <row r="4" s="1" customFormat="true" ht="18" hidden="false" customHeight="true" outlineLevel="0" collapsed="false">
      <c r="B4" s="9" t="s">
        <v>213</v>
      </c>
    </row>
    <row r="6" s="1" customFormat="true" ht="19.5" hidden="false" customHeight="true" outlineLevel="0" collapsed="false">
      <c r="B6" s="5" t="s">
        <v>214</v>
      </c>
      <c r="C6" s="6" t="n">
        <f aca="false" t="array" ref="C6:C6">Cash_Flow!C14</f>
        <v>21459375</v>
      </c>
    </row>
    <row r="7" s="1" customFormat="true" ht="19.5" hidden="false" customHeight="true" outlineLevel="0" collapsed="false">
      <c r="B7" s="5" t="s">
        <v>215</v>
      </c>
      <c r="C7" s="6" t="n">
        <f aca="false">SUM(Cash_Flow!D30:M30)</f>
        <v>29857547.3729989</v>
      </c>
    </row>
    <row r="8" s="1" customFormat="true" ht="19.5" hidden="false" customHeight="true" outlineLevel="0" collapsed="false">
      <c r="B8" s="5" t="s">
        <v>216</v>
      </c>
      <c r="C8" s="6" t="n">
        <f aca="false" t="array" ref="C8:C8">Cash_Flow!H38</f>
        <v>32200026.0073481</v>
      </c>
    </row>
    <row r="9" s="1" customFormat="true" ht="19.5" hidden="false" customHeight="true" outlineLevel="0" collapsed="false">
      <c r="B9" s="5" t="s">
        <v>217</v>
      </c>
      <c r="C9" s="6" t="n">
        <f aca="false">C7+C8</f>
        <v>62057573.380347</v>
      </c>
    </row>
    <row r="10" s="1" customFormat="true" ht="19.5" hidden="false" customHeight="true" outlineLevel="0" collapsed="false">
      <c r="B10" s="5" t="s">
        <v>218</v>
      </c>
      <c r="C10" s="6" t="n">
        <f aca="false">C9-C6</f>
        <v>40598198.380347</v>
      </c>
    </row>
    <row r="12" s="1" customFormat="true" ht="18" hidden="false" customHeight="true" outlineLevel="0" collapsed="false">
      <c r="B12" s="9" t="s">
        <v>219</v>
      </c>
    </row>
    <row r="13" s="1" customFormat="true" ht="18" hidden="false" customHeight="true" outlineLevel="0" collapsed="false">
      <c r="B13" s="28" t="s">
        <v>220</v>
      </c>
      <c r="C13" s="29" t="n">
        <f aca="false">IRR(Cash_Flow!C40:H40)</f>
        <v>0.184671429713301</v>
      </c>
    </row>
    <row r="14" s="1" customFormat="true" ht="19.5" hidden="false" customHeight="true" outlineLevel="0" collapsed="false">
      <c r="B14" s="5" t="s">
        <v>221</v>
      </c>
      <c r="C14" s="7" t="s">
        <v>222</v>
      </c>
    </row>
    <row r="15" s="1" customFormat="true" ht="19.5" hidden="false" customHeight="true" outlineLevel="0" collapsed="false">
      <c r="B15" s="5" t="s">
        <v>223</v>
      </c>
      <c r="C15" s="7" t="n">
        <f aca="false" t="array" ref="C15:C15">C13</f>
        <v>0.184671429713301</v>
      </c>
    </row>
    <row r="16" s="1" customFormat="true" ht="18" hidden="false" customHeight="true" outlineLevel="0" collapsed="false">
      <c r="B16" s="28" t="s">
        <v>224</v>
      </c>
      <c r="C16" s="28" t="n">
        <f aca="false">C9/C6</f>
        <v>2.89186303796578</v>
      </c>
    </row>
    <row r="17" s="1" customFormat="true" ht="19.5" hidden="false" customHeight="true" outlineLevel="0" collapsed="false">
      <c r="B17" s="5" t="s">
        <v>225</v>
      </c>
      <c r="C17" s="7" t="n">
        <f aca="false">AVERAGE(C20:C29)</f>
        <v>0.134728554467203</v>
      </c>
    </row>
    <row r="19" s="1" customFormat="true" ht="18" hidden="false" customHeight="true" outlineLevel="0" collapsed="false">
      <c r="B19" s="9" t="s">
        <v>226</v>
      </c>
    </row>
    <row r="20" s="1" customFormat="true" ht="18" hidden="false" customHeight="true" outlineLevel="0" collapsed="false">
      <c r="B20" s="10" t="s">
        <v>148</v>
      </c>
      <c r="C20" s="10" t="s">
        <v>227</v>
      </c>
      <c r="D20" s="10" t="s">
        <v>228</v>
      </c>
      <c r="E20" s="10" t="s">
        <v>229</v>
      </c>
      <c r="F20" s="10" t="s">
        <v>230</v>
      </c>
      <c r="G20" s="10" t="s">
        <v>231</v>
      </c>
    </row>
    <row r="21" s="1" customFormat="true" ht="19.5" hidden="false" customHeight="true" outlineLevel="0" collapsed="false">
      <c r="B21" s="1" t="s">
        <v>151</v>
      </c>
      <c r="C21" s="7" t="n">
        <f aca="false">Cash_Flow!D30/Cash_Flow!$C$14</f>
        <v>0.102521860348897</v>
      </c>
      <c r="D21" s="30" t="n">
        <f aca="false">Cash_Flow!D20/Cash_Flow!D23</f>
        <v>2.02320663123761</v>
      </c>
      <c r="E21" s="7" t="n">
        <f aca="false">Cash_Flow!D20/Assumptions!$C$11</f>
        <v>0.153456505982906</v>
      </c>
      <c r="F21" s="6" t="n">
        <f aca="false" t="array" ref="F21:F21">Cash_Flow!D40</f>
        <v>2200055.04692461</v>
      </c>
      <c r="G21" s="6" t="n">
        <f aca="false" t="array" ref="G21:G21">Cash_Flow!D41</f>
        <v>-19259319.9530754</v>
      </c>
    </row>
    <row r="22" s="1" customFormat="true" ht="19.5" hidden="false" customHeight="true" outlineLevel="0" collapsed="false">
      <c r="B22" s="1" t="s">
        <v>152</v>
      </c>
      <c r="C22" s="7" t="n">
        <f aca="false">Cash_Flow!E30/Cash_Flow!$C$14</f>
        <v>0.110015860290647</v>
      </c>
      <c r="D22" s="30" t="n">
        <f aca="false">Cash_Flow!E20/Cash_Flow!E23</f>
        <v>2.08390064857825</v>
      </c>
      <c r="E22" s="7" t="n">
        <f aca="false">Cash_Flow!E20/Assumptions!$C$11</f>
        <v>0.158060035692308</v>
      </c>
      <c r="F22" s="6" t="n">
        <f aca="false" t="array" ref="F22:F22">Cash_Flow!E40</f>
        <v>2360871.60192461</v>
      </c>
      <c r="G22" s="6" t="n">
        <f aca="false" t="array" ref="G22:G22">Cash_Flow!E41</f>
        <v>-16898448.3511508</v>
      </c>
    </row>
    <row r="23" s="1" customFormat="true" ht="19.5" hidden="false" customHeight="true" outlineLevel="0" collapsed="false">
      <c r="B23" s="1" t="s">
        <v>153</v>
      </c>
      <c r="C23" s="7" t="n">
        <f aca="false">Cash_Flow!F30/Cash_Flow!$C$14</f>
        <v>0.11773816533914</v>
      </c>
      <c r="D23" s="30" t="n">
        <f aca="false">Cash_Flow!F20/Cash_Flow!F23</f>
        <v>2.14641541008323</v>
      </c>
      <c r="E23" s="7" t="n">
        <f aca="false">Cash_Flow!F20/Assumptions!$C$11</f>
        <v>0.162801665501538</v>
      </c>
      <c r="F23" s="6" t="n">
        <f aca="false" t="array" ref="F23:F23">Cash_Flow!F40</f>
        <v>2526587.44182461</v>
      </c>
      <c r="G23" s="6" t="n">
        <f aca="false" t="array" ref="G23:G23">Cash_Flow!F41</f>
        <v>-14371860.9093262</v>
      </c>
    </row>
    <row r="24" s="1" customFormat="true" ht="19.5" hidden="false" customHeight="true" outlineLevel="0" collapsed="false">
      <c r="B24" s="1" t="s">
        <v>154</v>
      </c>
      <c r="C24" s="7" t="n">
        <f aca="false">Cash_Flow!G30/Cash_Flow!$C$14</f>
        <v>0.125695694201735</v>
      </c>
      <c r="D24" s="30" t="n">
        <f aca="false">Cash_Flow!G20/Cash_Flow!G23</f>
        <v>2.21080553540503</v>
      </c>
      <c r="E24" s="7" t="n">
        <f aca="false">Cash_Flow!G20/Assumptions!$C$11</f>
        <v>0.167685538210892</v>
      </c>
      <c r="F24" s="6" t="n">
        <f aca="false" t="array" ref="F24:F24">Cash_Flow!G40</f>
        <v>2697351.03776036</v>
      </c>
      <c r="G24" s="6" t="n">
        <f aca="false" t="array" ref="G24:G24">Cash_Flow!G41</f>
        <v>-11674509.8715658</v>
      </c>
    </row>
    <row r="25" s="1" customFormat="true" ht="19.5" hidden="false" customHeight="true" outlineLevel="0" collapsed="false">
      <c r="B25" s="1" t="s">
        <v>155</v>
      </c>
      <c r="C25" s="7" t="n">
        <f aca="false">Cash_Flow!H30/Cash_Flow!$C$14</f>
        <v>0.133895574532916</v>
      </c>
      <c r="D25" s="30" t="n">
        <f aca="false">Cash_Flow!H20/Cash_Flow!H23</f>
        <v>2.27712728269217</v>
      </c>
      <c r="E25" s="7" t="n">
        <f aca="false">Cash_Flow!H20/Assumptions!$C$11</f>
        <v>0.172715920897578</v>
      </c>
      <c r="F25" s="6" t="n">
        <f aca="false" t="array" ref="F25:F25">Cash_Flow!H40</f>
        <v>35073341.3520904</v>
      </c>
      <c r="G25" s="6" t="n">
        <f aca="false" t="array" ref="G25:G25">Cash_Flow!H41</f>
        <v>23398831.4805246</v>
      </c>
    </row>
    <row r="26" s="1" customFormat="true" ht="19.5" hidden="false" customHeight="true" outlineLevel="0" collapsed="false">
      <c r="B26" s="1" t="s">
        <v>156</v>
      </c>
      <c r="C26" s="7" t="n">
        <f aca="false">Cash_Flow!I30/Cash_Flow!$C$14</f>
        <v>0.142345149230239</v>
      </c>
      <c r="D26" s="30" t="n">
        <f aca="false">Cash_Flow!I20/Cash_Flow!I23</f>
        <v>2.34543859774078</v>
      </c>
      <c r="E26" s="7" t="n">
        <f aca="false">Cash_Flow!I20/Assumptions!$C$11</f>
        <v>0.177897208643776</v>
      </c>
      <c r="F26" s="6" t="n">
        <f aca="false" t="array" ref="F26:F26">Cash_Flow!I40</f>
        <v>3054637.93676266</v>
      </c>
      <c r="G26" s="6" t="n">
        <f aca="false" t="array" ref="G26:G26">Cash_Flow!I41</f>
        <v>26453469.4172872</v>
      </c>
    </row>
    <row r="27" s="1" customFormat="true" ht="19.5" hidden="false" customHeight="true" outlineLevel="0" collapsed="false">
      <c r="B27" s="1" t="s">
        <v>157</v>
      </c>
      <c r="C27" s="7" t="n">
        <f aca="false">Cash_Flow!J30/Cash_Flow!$C$14</f>
        <v>0.15105198291971</v>
      </c>
      <c r="D27" s="30" t="n">
        <f aca="false">Cash_Flow!J20/Cash_Flow!J23</f>
        <v>2.41579916462074</v>
      </c>
      <c r="E27" s="7" t="n">
        <f aca="false">Cash_Flow!J20/Assumptions!$C$11</f>
        <v>0.183233928376535</v>
      </c>
      <c r="F27" s="6" t="n">
        <f aca="false" t="array" ref="F27:F27">Cash_Flow!J40</f>
        <v>3241481.14596766</v>
      </c>
      <c r="G27" s="6" t="n">
        <f aca="false" t="array" ref="G27:G27">Cash_Flow!J41</f>
        <v>29694950.5632549</v>
      </c>
    </row>
    <row r="28" s="1" customFormat="true" ht="19.5" hidden="false" customHeight="true" outlineLevel="0" collapsed="false">
      <c r="B28" s="1" t="s">
        <v>158</v>
      </c>
      <c r="C28" s="7" t="n">
        <f aca="false">Cash_Flow!K30/Cash_Flow!$C$14</f>
        <v>0.160023868636271</v>
      </c>
      <c r="D28" s="30" t="n">
        <f aca="false">Cash_Flow!K20/Cash_Flow!K23</f>
        <v>2.48827045782026</v>
      </c>
      <c r="E28" s="7" t="n">
        <f aca="false">Cash_Flow!K20/Assumptions!$C$11</f>
        <v>0.188730742822847</v>
      </c>
      <c r="F28" s="6" t="n">
        <f aca="false" t="array" ref="F28:F28">Cash_Flow!K40</f>
        <v>3434012.20601647</v>
      </c>
      <c r="G28" s="6" t="n">
        <f aca="false" t="array" ref="G28:G28">Cash_Flow!K41</f>
        <v>33128962.7692713</v>
      </c>
    </row>
    <row r="29" s="1" customFormat="true" ht="19.5" hidden="false" customHeight="true" outlineLevel="0" collapsed="false">
      <c r="B29" s="1" t="s">
        <v>159</v>
      </c>
      <c r="C29" s="7" t="n">
        <f aca="false">Cash_Flow!L30/Cash_Flow!$C$14</f>
        <v>0.169268834705268</v>
      </c>
      <c r="D29" s="30" t="n">
        <f aca="false">Cash_Flow!L20/Cash_Flow!L23</f>
        <v>2.5629157959549</v>
      </c>
      <c r="E29" s="7" t="n">
        <f aca="false">Cash_Flow!L20/Assumptions!$C$11</f>
        <v>0.194392454583374</v>
      </c>
      <c r="F29" s="6" t="n">
        <f aca="false" t="array" ref="F29:F29">Cash_Flow!L40</f>
        <v>3632403.39975337</v>
      </c>
      <c r="G29" s="6" t="n">
        <f aca="false" t="array" ref="G29:G29">Cash_Flow!L41</f>
        <v>36761366.1690247</v>
      </c>
    </row>
    <row r="30" s="1" customFormat="true" ht="19.5" hidden="false" customHeight="true" outlineLevel="0" collapsed="false">
      <c r="B30" s="1" t="s">
        <v>160</v>
      </c>
      <c r="C30" s="7" t="n">
        <f aca="false">Cash_Flow!M30/Cash_Flow!$C$14</f>
        <v>0.178795151830951</v>
      </c>
      <c r="D30" s="30" t="n">
        <f aca="false">Cash_Flow!M20/Cash_Flow!M23</f>
        <v>2.63980039708758</v>
      </c>
      <c r="E30" s="7" t="n">
        <f aca="false">Cash_Flow!M20/Assumptions!$C$11</f>
        <v>0.200224010328371</v>
      </c>
      <c r="F30" s="6" t="n">
        <f aca="false" t="array" ref="F30:F30">Cash_Flow!M40</f>
        <v>3836832.21132231</v>
      </c>
      <c r="G30" s="6" t="n">
        <f aca="false" t="array" ref="G30:G30">Cash_Flow!M41</f>
        <v>40598198.380347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2:G20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2" activeCellId="0" sqref="B2"/>
    </sheetView>
  </sheetViews>
  <sheetFormatPr defaultColWidth="7.75390625" defaultRowHeight="15" zeroHeight="false" outlineLevelRow="0" outlineLevelCol="0"/>
  <cols>
    <col collapsed="false" customWidth="true" hidden="false" outlineLevel="0" max="2" min="2" style="1" width="18.75"/>
    <col collapsed="false" customWidth="true" hidden="false" outlineLevel="0" max="7" min="3" style="1" width="12.51"/>
  </cols>
  <sheetData>
    <row r="2" s="1" customFormat="true" ht="24.75" hidden="false" customHeight="true" outlineLevel="0" collapsed="false">
      <c r="B2" s="8" t="s">
        <v>232</v>
      </c>
    </row>
    <row r="4" s="1" customFormat="true" ht="18" hidden="false" customHeight="true" outlineLevel="0" collapsed="false">
      <c r="B4" s="9" t="s">
        <v>233</v>
      </c>
    </row>
    <row r="5" s="1" customFormat="true" ht="18" hidden="false" customHeight="true" outlineLevel="0" collapsed="false">
      <c r="B5" s="31" t="s">
        <v>234</v>
      </c>
      <c r="C5" s="32" t="n">
        <v>0.045</v>
      </c>
      <c r="D5" s="32" t="n">
        <v>0.05</v>
      </c>
      <c r="E5" s="32" t="n">
        <v>0.055</v>
      </c>
      <c r="F5" s="32" t="n">
        <v>0.06</v>
      </c>
      <c r="G5" s="32" t="n">
        <v>0.065</v>
      </c>
    </row>
    <row r="6" s="1" customFormat="true" ht="18" hidden="false" customHeight="true" outlineLevel="0" collapsed="false">
      <c r="B6" s="31" t="s">
        <v>235</v>
      </c>
    </row>
    <row r="7" s="1" customFormat="true" ht="19.5" hidden="false" customHeight="true" outlineLevel="0" collapsed="false">
      <c r="B7" s="32" t="n">
        <v>0.02</v>
      </c>
      <c r="C7" s="33" t="n">
        <v>0.155</v>
      </c>
      <c r="D7" s="34" t="n">
        <v>0.14</v>
      </c>
      <c r="E7" s="34" t="n">
        <v>0.125</v>
      </c>
      <c r="F7" s="7" t="n">
        <v>0.11</v>
      </c>
      <c r="G7" s="7" t="n">
        <v>0.095</v>
      </c>
    </row>
    <row r="8" s="1" customFormat="true" ht="19.5" hidden="false" customHeight="true" outlineLevel="0" collapsed="false">
      <c r="B8" s="32" t="n">
        <v>0.025</v>
      </c>
      <c r="C8" s="33" t="n">
        <v>0.165</v>
      </c>
      <c r="D8" s="34" t="n">
        <v>0.15</v>
      </c>
      <c r="E8" s="34" t="n">
        <v>0.135</v>
      </c>
      <c r="F8" s="7" t="n">
        <v>0.12</v>
      </c>
      <c r="G8" s="7" t="n">
        <v>0.105</v>
      </c>
    </row>
    <row r="9" s="1" customFormat="true" ht="19.5" hidden="false" customHeight="true" outlineLevel="0" collapsed="false">
      <c r="B9" s="32" t="n">
        <v>0.03</v>
      </c>
      <c r="C9" s="33" t="n">
        <v>0.175</v>
      </c>
      <c r="D9" s="34" t="n">
        <v>0.16</v>
      </c>
      <c r="E9" s="34" t="n">
        <v>0.145</v>
      </c>
      <c r="F9" s="35" t="n">
        <v>0.13</v>
      </c>
      <c r="G9" s="35" t="n">
        <v>0.115</v>
      </c>
    </row>
    <row r="10" s="1" customFormat="true" ht="19.5" hidden="false" customHeight="true" outlineLevel="0" collapsed="false">
      <c r="B10" s="32" t="n">
        <v>0.035</v>
      </c>
      <c r="C10" s="7" t="n">
        <v>0.185</v>
      </c>
      <c r="D10" s="7" t="n">
        <v>0.17</v>
      </c>
      <c r="E10" s="7" t="n">
        <v>0.155</v>
      </c>
      <c r="F10" s="35" t="n">
        <v>0.14</v>
      </c>
      <c r="G10" s="35" t="n">
        <v>0.125</v>
      </c>
    </row>
    <row r="11" s="1" customFormat="true" ht="19.5" hidden="false" customHeight="true" outlineLevel="0" collapsed="false">
      <c r="B11" s="32" t="n">
        <v>0.04</v>
      </c>
      <c r="C11" s="7" t="n">
        <v>0.195</v>
      </c>
      <c r="D11" s="7" t="n">
        <v>0.18</v>
      </c>
      <c r="E11" s="7" t="n">
        <v>0.165</v>
      </c>
      <c r="F11" s="35" t="n">
        <v>0.15</v>
      </c>
      <c r="G11" s="35" t="n">
        <v>0.135</v>
      </c>
    </row>
    <row r="13" s="1" customFormat="true" ht="18" hidden="false" customHeight="true" outlineLevel="0" collapsed="false">
      <c r="B13" s="9" t="s">
        <v>236</v>
      </c>
    </row>
    <row r="14" s="1" customFormat="true" ht="18" hidden="false" customHeight="true" outlineLevel="0" collapsed="false">
      <c r="B14" s="31" t="s">
        <v>234</v>
      </c>
      <c r="C14" s="32" t="n">
        <v>0.045</v>
      </c>
      <c r="D14" s="32" t="n">
        <v>0.05</v>
      </c>
      <c r="E14" s="32" t="n">
        <v>0.055</v>
      </c>
      <c r="F14" s="32" t="n">
        <v>0.06</v>
      </c>
      <c r="G14" s="32" t="n">
        <v>0.065</v>
      </c>
    </row>
    <row r="15" s="1" customFormat="true" ht="18" hidden="false" customHeight="true" outlineLevel="0" collapsed="false">
      <c r="B15" s="31" t="s">
        <v>235</v>
      </c>
    </row>
    <row r="16" s="1" customFormat="true" ht="19.5" hidden="false" customHeight="true" outlineLevel="0" collapsed="false">
      <c r="B16" s="32" t="n">
        <v>0.02</v>
      </c>
      <c r="C16" s="36" t="n">
        <v>2.08</v>
      </c>
      <c r="D16" s="37" t="n">
        <v>2.005</v>
      </c>
      <c r="E16" s="38" t="n">
        <v>1.93</v>
      </c>
      <c r="F16" s="39" t="n">
        <v>1.855</v>
      </c>
      <c r="G16" s="39" t="n">
        <v>1.78</v>
      </c>
    </row>
    <row r="17" s="1" customFormat="true" ht="19.5" hidden="false" customHeight="true" outlineLevel="0" collapsed="false">
      <c r="B17" s="32" t="n">
        <v>0.025</v>
      </c>
      <c r="C17" s="40" t="n">
        <v>2.14</v>
      </c>
      <c r="D17" s="37" t="n">
        <v>2.065</v>
      </c>
      <c r="E17" s="37" t="n">
        <v>1.99</v>
      </c>
      <c r="F17" s="39" t="n">
        <v>1.915</v>
      </c>
      <c r="G17" s="39" t="n">
        <v>1.84</v>
      </c>
    </row>
    <row r="18" s="1" customFormat="true" ht="19.5" hidden="false" customHeight="true" outlineLevel="0" collapsed="false">
      <c r="B18" s="32" t="n">
        <v>0.03</v>
      </c>
      <c r="C18" s="40" t="n">
        <v>2.2</v>
      </c>
      <c r="D18" s="37" t="n">
        <v>2.125</v>
      </c>
      <c r="E18" s="38" t="n">
        <v>2.05</v>
      </c>
      <c r="F18" s="41" t="n">
        <v>1.975</v>
      </c>
      <c r="G18" s="42" t="n">
        <v>1.9</v>
      </c>
    </row>
    <row r="19" s="1" customFormat="true" ht="19.5" hidden="false" customHeight="true" outlineLevel="0" collapsed="false">
      <c r="B19" s="32" t="n">
        <v>0.035</v>
      </c>
      <c r="C19" s="1" t="n">
        <v>2.26</v>
      </c>
      <c r="D19" s="39" t="n">
        <v>2.185</v>
      </c>
      <c r="E19" s="1" t="n">
        <v>2.11</v>
      </c>
      <c r="F19" s="41" t="n">
        <v>2.035</v>
      </c>
      <c r="G19" s="42" t="n">
        <v>1.96</v>
      </c>
    </row>
    <row r="20" s="1" customFormat="true" ht="19.5" hidden="false" customHeight="true" outlineLevel="0" collapsed="false">
      <c r="B20" s="32" t="n">
        <v>0.04</v>
      </c>
      <c r="C20" s="1" t="n">
        <v>2.32</v>
      </c>
      <c r="D20" s="39" t="n">
        <v>2.245</v>
      </c>
      <c r="E20" s="1" t="n">
        <v>2.17</v>
      </c>
      <c r="F20" s="41" t="n">
        <v>2.095</v>
      </c>
      <c r="G20" s="42" t="n">
        <v>2.02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2:G40"/>
  <sheetViews>
    <sheetView showFormulas="false" showGridLines="false" showRowColHeaders="true" showZeros="true" rightToLeft="false" tabSelected="false" showOutlineSymbols="true" defaultGridColor="true" view="normal" topLeftCell="A9" colorId="64" zoomScale="100" zoomScaleNormal="100" zoomScalePageLayoutView="100" workbookViewId="0">
      <selection pane="topLeft" activeCell="B2" activeCellId="0" sqref="B2"/>
    </sheetView>
  </sheetViews>
  <sheetFormatPr defaultColWidth="7.75390625" defaultRowHeight="15" zeroHeight="false" outlineLevelRow="0" outlineLevelCol="0"/>
  <cols>
    <col collapsed="false" customWidth="true" hidden="false" outlineLevel="0" max="2" min="2" style="1" width="27.5"/>
    <col collapsed="false" customWidth="true" hidden="false" outlineLevel="0" max="5" min="3" style="1" width="15.01"/>
    <col collapsed="false" customWidth="true" hidden="false" outlineLevel="0" max="7" min="6" style="1" width="12.51"/>
  </cols>
  <sheetData>
    <row r="2" s="1" customFormat="true" ht="24.75" hidden="false" customHeight="true" outlineLevel="0" collapsed="false">
      <c r="B2" s="8" t="s">
        <v>237</v>
      </c>
    </row>
    <row r="4" s="1" customFormat="true" ht="18" hidden="false" customHeight="true" outlineLevel="0" collapsed="false">
      <c r="B4" s="9" t="s">
        <v>238</v>
      </c>
    </row>
    <row r="5" s="1" customFormat="true" ht="19.5" hidden="false" customHeight="true" outlineLevel="0" collapsed="false">
      <c r="B5" s="1" t="s">
        <v>239</v>
      </c>
      <c r="C5" s="6" t="n">
        <f aca="false" t="array" ref="C5:C5">Operating_Statement!C27</f>
        <v>5610753.5</v>
      </c>
    </row>
    <row r="6" s="1" customFormat="true" ht="19.5" hidden="false" customHeight="true" outlineLevel="0" collapsed="false">
      <c r="B6" s="1" t="s">
        <v>240</v>
      </c>
      <c r="C6" s="7" t="n">
        <f aca="false">C5/(Assumptions!C5/1000)</f>
        <v>99.7467288888889</v>
      </c>
    </row>
    <row r="7" s="1" customFormat="true" ht="18" hidden="false" customHeight="true" outlineLevel="0" collapsed="false">
      <c r="B7" s="21" t="s">
        <v>241</v>
      </c>
      <c r="C7" s="22" t="n">
        <f aca="false">C5/C6</f>
        <v>56250</v>
      </c>
    </row>
    <row r="9" s="1" customFormat="true" ht="19.5" hidden="false" customHeight="true" outlineLevel="0" collapsed="false">
      <c r="B9" s="1" t="s">
        <v>242</v>
      </c>
      <c r="C9" s="6" t="n">
        <f aca="false" t="array" ref="C9:C9">Operating_Statement!F27</f>
        <v>6131002.49083575</v>
      </c>
    </row>
    <row r="10" s="1" customFormat="true" ht="19.5" hidden="false" customHeight="true" outlineLevel="0" collapsed="false">
      <c r="B10" s="1" t="s">
        <v>243</v>
      </c>
      <c r="C10" s="7" t="n">
        <f aca="false" t="array" ref="C10:C10">Assumptions!C26</f>
        <v>10</v>
      </c>
    </row>
    <row r="11" s="1" customFormat="true" ht="18" hidden="false" customHeight="true" outlineLevel="0" collapsed="false">
      <c r="B11" s="21" t="s">
        <v>244</v>
      </c>
      <c r="C11" s="22" t="n">
        <f aca="false">C9/C10</f>
        <v>613100.249083575</v>
      </c>
    </row>
    <row r="13" s="1" customFormat="true" ht="18" hidden="false" customHeight="true" outlineLevel="0" collapsed="false">
      <c r="B13" s="9" t="s">
        <v>245</v>
      </c>
    </row>
    <row r="14" s="1" customFormat="true" ht="19.5" hidden="false" customHeight="true" outlineLevel="0" collapsed="false">
      <c r="B14" s="1" t="s">
        <v>246</v>
      </c>
      <c r="C14" s="6" t="n">
        <f aca="false" t="array" ref="C14:C14">Cash_Flow!H33</f>
        <v>6314925.85781768</v>
      </c>
    </row>
    <row r="15" s="1" customFormat="true" ht="19.5" hidden="false" customHeight="true" outlineLevel="0" collapsed="false">
      <c r="B15" s="1" t="s">
        <v>120</v>
      </c>
      <c r="C15" s="7" t="n">
        <f aca="false" t="array" ref="C15:C15">Assumptions!C52</f>
        <v>0.09</v>
      </c>
    </row>
    <row r="16" s="1" customFormat="true" ht="19.5" hidden="false" customHeight="true" outlineLevel="0" collapsed="false">
      <c r="B16" s="1" t="s">
        <v>207</v>
      </c>
      <c r="C16" s="6" t="n">
        <f aca="false">C14/C15</f>
        <v>70165842.8646409</v>
      </c>
    </row>
    <row r="17" s="1" customFormat="true" ht="19.5" hidden="false" customHeight="true" outlineLevel="0" collapsed="false">
      <c r="B17" s="1" t="s">
        <v>247</v>
      </c>
      <c r="C17" s="6" t="n">
        <f aca="false">-C16*Assumptions!C53</f>
        <v>-1403316.85729282</v>
      </c>
    </row>
    <row r="18" s="1" customFormat="true" ht="18" hidden="false" customHeight="true" outlineLevel="0" collapsed="false">
      <c r="B18" s="21" t="s">
        <v>209</v>
      </c>
      <c r="C18" s="22" t="n">
        <f aca="false">C16+C17</f>
        <v>68762526.0073481</v>
      </c>
    </row>
    <row r="20" s="1" customFormat="true" ht="18" hidden="false" customHeight="true" outlineLevel="0" collapsed="false">
      <c r="B20" s="9" t="s">
        <v>248</v>
      </c>
    </row>
    <row r="21" s="1" customFormat="true" ht="18" hidden="false" customHeight="true" outlineLevel="0" collapsed="false">
      <c r="B21" s="10" t="s">
        <v>249</v>
      </c>
      <c r="C21" s="10" t="s">
        <v>50</v>
      </c>
      <c r="D21" s="10" t="s">
        <v>250</v>
      </c>
      <c r="E21" s="10" t="s">
        <v>251</v>
      </c>
      <c r="F21" s="10" t="s">
        <v>252</v>
      </c>
      <c r="G21" s="10" t="s">
        <v>253</v>
      </c>
    </row>
    <row r="22" s="1" customFormat="true" ht="19.5" hidden="false" customHeight="true" outlineLevel="0" collapsed="false">
      <c r="B22" s="1" t="s">
        <v>254</v>
      </c>
      <c r="C22" s="1" t="n">
        <v>180</v>
      </c>
      <c r="D22" s="6" t="n">
        <v>38500000</v>
      </c>
      <c r="E22" s="6" t="n">
        <f aca="false">D22/C22</f>
        <v>213888.888888889</v>
      </c>
      <c r="F22" s="6" t="n">
        <v>235</v>
      </c>
      <c r="G22" s="7" t="n">
        <v>0.053</v>
      </c>
    </row>
    <row r="23" s="1" customFormat="true" ht="19.5" hidden="false" customHeight="true" outlineLevel="0" collapsed="false">
      <c r="B23" s="1" t="s">
        <v>255</v>
      </c>
      <c r="C23" s="1" t="n">
        <v>225</v>
      </c>
      <c r="D23" s="6" t="n">
        <v>52000000</v>
      </c>
      <c r="E23" s="6" t="n">
        <f aca="false">D23/C23</f>
        <v>231111.111111111</v>
      </c>
      <c r="F23" s="6" t="n">
        <v>245</v>
      </c>
      <c r="G23" s="7" t="n">
        <v>0.051</v>
      </c>
    </row>
    <row r="24" s="1" customFormat="true" ht="19.5" hidden="false" customHeight="true" outlineLevel="0" collapsed="false">
      <c r="B24" s="1" t="s">
        <v>256</v>
      </c>
      <c r="C24" s="1" t="n">
        <v>310</v>
      </c>
      <c r="D24" s="6" t="n">
        <v>68000000</v>
      </c>
      <c r="E24" s="6" t="n">
        <f aca="false">D24/C24</f>
        <v>219354.838709677</v>
      </c>
      <c r="F24" s="6" t="n">
        <v>220</v>
      </c>
      <c r="G24" s="7" t="n">
        <v>0.055</v>
      </c>
    </row>
    <row r="25" s="1" customFormat="true" ht="18" hidden="false" customHeight="true" outlineLevel="0" collapsed="false">
      <c r="B25" s="21" t="s">
        <v>257</v>
      </c>
      <c r="C25" s="21" t="n">
        <f aca="false">AVERAGE(C22:C24)</f>
        <v>238.333333333333</v>
      </c>
      <c r="D25" s="22" t="n">
        <f aca="false">AVERAGE(D22:D24)</f>
        <v>52833333.3333333</v>
      </c>
      <c r="E25" s="22" t="n">
        <f aca="false">AVERAGE(E22:E24)</f>
        <v>221451.612903226</v>
      </c>
      <c r="F25" s="22" t="n">
        <f aca="false">AVERAGE(F22:F24)</f>
        <v>233.333333333333</v>
      </c>
      <c r="G25" s="43" t="n">
        <f aca="false">AVERAGE(G22:G24)</f>
        <v>0.053</v>
      </c>
    </row>
    <row r="27" s="1" customFormat="true" ht="18" hidden="false" customHeight="true" outlineLevel="0" collapsed="false">
      <c r="B27" s="9" t="s">
        <v>258</v>
      </c>
    </row>
    <row r="28" s="1" customFormat="true" ht="19.5" hidden="false" customHeight="true" outlineLevel="0" collapsed="false">
      <c r="B28" s="1" t="s">
        <v>42</v>
      </c>
      <c r="C28" s="1" t="n">
        <f aca="false" t="array" ref="C28:C28">Assumptions!C25</f>
        <v>250</v>
      </c>
    </row>
    <row r="29" s="1" customFormat="true" ht="19.5" hidden="false" customHeight="true" outlineLevel="0" collapsed="false">
      <c r="B29" s="1" t="s">
        <v>53</v>
      </c>
      <c r="C29" s="1" t="n">
        <f aca="false" t="array" ref="C29:C29">Property_Info!C13</f>
        <v>225000</v>
      </c>
    </row>
    <row r="30" s="1" customFormat="true" ht="19.5" hidden="false" customHeight="true" outlineLevel="0" collapsed="false">
      <c r="B30" s="1" t="s">
        <v>259</v>
      </c>
      <c r="C30" s="6" t="n">
        <f aca="false" t="array" ref="C30:C30">E25</f>
        <v>221451.612903226</v>
      </c>
    </row>
    <row r="31" s="1" customFormat="true" ht="19.5" hidden="false" customHeight="true" outlineLevel="0" collapsed="false">
      <c r="B31" s="1" t="s">
        <v>260</v>
      </c>
      <c r="C31" s="6" t="n">
        <f aca="false" t="array" ref="C31:C31">F25</f>
        <v>233.333333333333</v>
      </c>
    </row>
    <row r="33" s="1" customFormat="true" ht="18" hidden="false" customHeight="true" outlineLevel="0" collapsed="false">
      <c r="B33" s="21" t="s">
        <v>261</v>
      </c>
      <c r="C33" s="22" t="n">
        <f aca="false">C28*C30/1000</f>
        <v>55362.9032258065</v>
      </c>
    </row>
    <row r="34" s="1" customFormat="true" ht="18" hidden="false" customHeight="true" outlineLevel="0" collapsed="false">
      <c r="B34" s="21" t="s">
        <v>262</v>
      </c>
      <c r="C34" s="22" t="n">
        <f aca="false">C29*C31/1000</f>
        <v>52500</v>
      </c>
    </row>
    <row r="36" s="1" customFormat="true" ht="18" hidden="false" customHeight="true" outlineLevel="0" collapsed="false">
      <c r="B36" s="9" t="s">
        <v>263</v>
      </c>
    </row>
    <row r="37" s="1" customFormat="true" ht="18" hidden="false" customHeight="true" outlineLevel="0" collapsed="false">
      <c r="B37" s="28" t="s">
        <v>80</v>
      </c>
      <c r="C37" s="44" t="n">
        <f aca="false">Assumptions!C5/1000</f>
        <v>56250</v>
      </c>
    </row>
    <row r="38" s="1" customFormat="true" ht="18" hidden="false" customHeight="true" outlineLevel="0" collapsed="false">
      <c r="B38" s="28" t="s">
        <v>264</v>
      </c>
      <c r="C38" s="44" t="n">
        <f aca="false" t="array" ref="C38:C38">C7</f>
        <v>56250</v>
      </c>
    </row>
    <row r="39" s="1" customFormat="true" ht="18" hidden="false" customHeight="true" outlineLevel="0" collapsed="false">
      <c r="B39" s="28" t="s">
        <v>265</v>
      </c>
      <c r="C39" s="44" t="n">
        <f aca="false">AVERAGE(C33:C34)</f>
        <v>53931.4516129032</v>
      </c>
    </row>
    <row r="40" s="1" customFormat="true" ht="18" hidden="false" customHeight="true" outlineLevel="0" collapsed="false">
      <c r="B40" s="28" t="s">
        <v>266</v>
      </c>
      <c r="C40" s="44" t="n">
        <f aca="false" t="array" ref="C40:C40">C16</f>
        <v>70165842.8646409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</TotalTime>
  <Application>LibreOffice/24.2.7.2$Linux_X86_64 LibreOffice_project/420$Build-2</Application>
  <AppVersion>15.0000</AppVersion>
  <Company>Shortcut</Company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2025-05-22T23:41:35Z</dcterms:created>
  <dc:creator>Shortcut</dc:creator>
  <dc:description/>
  <dc:language>en-US</dc:language>
  <cp:lastModifiedBy/>
  <dcterms:modified xsi:type="dcterms:W3CDTF">2025-10-23T20:11:57Z</dcterms:modified>
  <cp:revision>2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